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8700" activeTab="0"/>
  </bookViews>
  <sheets>
    <sheet name="OutPut" sheetId="1" r:id="rId1"/>
    <sheet name="Cattle" sheetId="2" r:id="rId2"/>
    <sheet name="Land" sheetId="3" r:id="rId3"/>
    <sheet name="Money" sheetId="4" r:id="rId4"/>
  </sheets>
  <definedNames>
    <definedName name="_xlnm.Print_Area" localSheetId="1">'Cattle'!$A$77:$G$104</definedName>
    <definedName name="_xlnm.Print_Area" localSheetId="2">'Land'!$A$143:$G$266</definedName>
    <definedName name="_xlnm.Print_Area" localSheetId="3">'Money'!$A$109:$G$133</definedName>
    <definedName name="_xlnm.Print_Area" localSheetId="0">'OutPut'!$A$17:$F$67</definedName>
  </definedNames>
  <calcPr fullCalcOnLoad="1"/>
</workbook>
</file>

<file path=xl/sharedStrings.xml><?xml version="1.0" encoding="utf-8"?>
<sst xmlns="http://schemas.openxmlformats.org/spreadsheetml/2006/main" count="460" uniqueCount="189">
  <si>
    <t>Allocated Grain Acres</t>
  </si>
  <si>
    <t>Allocated Pasture Acres</t>
  </si>
  <si>
    <t>Allocated Forage Acres</t>
  </si>
  <si>
    <t>Pasture % Utilization (estimate)</t>
  </si>
  <si>
    <t>Grain handling / storage shrink (estimate)</t>
  </si>
  <si>
    <t>Forage handling / storage shrink (estimate)</t>
  </si>
  <si>
    <t>Facility % Utilization (% of Capacity)</t>
  </si>
  <si>
    <t>Natural</t>
  </si>
  <si>
    <t>UTILIZATION</t>
  </si>
  <si>
    <t>BEEF OUTPUT</t>
  </si>
  <si>
    <t>$/acre Gross Output - Grain Acres</t>
  </si>
  <si>
    <t>$/acre Gross Output - Forage Acres</t>
  </si>
  <si>
    <t>$/acre Input Charges - Grain Acres</t>
  </si>
  <si>
    <t>$/acre Input Charges - Pasture Acres</t>
  </si>
  <si>
    <t>PLANNED ALLOCATIONS</t>
  </si>
  <si>
    <t>Organic</t>
  </si>
  <si>
    <t>ANNUAL REVENUE</t>
  </si>
  <si>
    <t>Conventional</t>
  </si>
  <si>
    <t>Grass / Grain</t>
  </si>
  <si>
    <t>Grass</t>
  </si>
  <si>
    <t>Grain</t>
  </si>
  <si>
    <t>Year into System Conversion</t>
  </si>
  <si>
    <t>Target Production System</t>
  </si>
  <si>
    <t>Current Production System</t>
  </si>
  <si>
    <t>Value $/lb Live Fed-beef  -  Market Value</t>
  </si>
  <si>
    <t>FEED REQUIREMENTS - Fed Beef</t>
  </si>
  <si>
    <t>FEED REQUIREMENTS - Cow Herd</t>
  </si>
  <si>
    <t>Grain Value $/bu.</t>
  </si>
  <si>
    <t>Forage Value $/ton</t>
  </si>
  <si>
    <t>Organic Certified</t>
  </si>
  <si>
    <t>Forage (stored) Yield - tons / acre</t>
  </si>
  <si>
    <t>Grain Yield per Acre - bu./acre</t>
  </si>
  <si>
    <t>Pasture Yield - tons / acre</t>
  </si>
  <si>
    <t>Feedyard Head Space</t>
  </si>
  <si>
    <t>Pasture Rented Out - acres</t>
  </si>
  <si>
    <t>Cropland Rented Out - acres</t>
  </si>
  <si>
    <t xml:space="preserve">Feedyard Head Space - Rented Out </t>
  </si>
  <si>
    <t>$ Input Charges - Yard Head Space - if Rented Out</t>
  </si>
  <si>
    <t>$/acre Input Charges - Cropland - if Rented Out</t>
  </si>
  <si>
    <t>$/acre Input Charges - Pastureland - if Rented Out</t>
  </si>
  <si>
    <t>ANNUAL CHARGES  (all combined charges)</t>
  </si>
  <si>
    <t>$/acre Input Charges - Forage Acres (pro-rate establishment)</t>
  </si>
  <si>
    <t>Grain Acres Required for Cattle</t>
  </si>
  <si>
    <t>Forage Acres Required for Cattle</t>
  </si>
  <si>
    <t>Pasture Acres Required for Cattle</t>
  </si>
  <si>
    <t xml:space="preserve">1=Conventional </t>
  </si>
  <si>
    <t>2=Natural</t>
  </si>
  <si>
    <t xml:space="preserve">Production Systems   </t>
  </si>
  <si>
    <t xml:space="preserve"> Beef System Evaluation</t>
  </si>
  <si>
    <t>*  cow herd contribution to farm income is reflected in calf cost which becomes a function of cost per pound of weight gain</t>
  </si>
  <si>
    <t>3=Natural Grass</t>
  </si>
  <si>
    <t>4=Organic Grain</t>
  </si>
  <si>
    <t>5=Organic Grass/Grain</t>
  </si>
  <si>
    <t>6=Organic Grass</t>
  </si>
  <si>
    <t>Number of Head Fed Out per Year</t>
  </si>
  <si>
    <t>Value $/lb Live Feeder Calf  -  Market Value</t>
  </si>
  <si>
    <t>Number of Feeder Calves Sold per Year</t>
  </si>
  <si>
    <t>Feeder Calf Wt. per hd.</t>
  </si>
  <si>
    <t>Other Receits from Livestock #1 - total $</t>
  </si>
  <si>
    <t>Other Receits from Livestock #2 - total $</t>
  </si>
  <si>
    <t>Annual Data</t>
  </si>
  <si>
    <t>current cost basis  ??</t>
  </si>
  <si>
    <t>current eligible price - fed beef</t>
  </si>
  <si>
    <t>current eligible price - feeders</t>
  </si>
  <si>
    <t>Fed Beef</t>
  </si>
  <si>
    <t>Feeders</t>
  </si>
  <si>
    <t>Organic Yields as % of Conventional Yields</t>
  </si>
  <si>
    <t>year 1</t>
  </si>
  <si>
    <t>year 2</t>
  </si>
  <si>
    <t>year 3</t>
  </si>
  <si>
    <t>year 4</t>
  </si>
  <si>
    <t>year 5</t>
  </si>
  <si>
    <t>Grain Yield bu/acre</t>
  </si>
  <si>
    <t>Forage Yield tons/acre</t>
  </si>
  <si>
    <t>Pasture Yield tons/acre</t>
  </si>
  <si>
    <t>Crop Yields</t>
  </si>
  <si>
    <t>Year 1</t>
  </si>
  <si>
    <t>Year 2</t>
  </si>
  <si>
    <t>Year 3</t>
  </si>
  <si>
    <t>Year 4</t>
  </si>
  <si>
    <t>Year 5</t>
  </si>
  <si>
    <t>Loan amount $</t>
  </si>
  <si>
    <t>Year of 1st pmnt (1,2,3)</t>
  </si>
  <si>
    <t>Rate %</t>
  </si>
  <si>
    <t>Payment</t>
  </si>
  <si>
    <t>Principal</t>
  </si>
  <si>
    <t>Interest</t>
  </si>
  <si>
    <t>Income</t>
  </si>
  <si>
    <t xml:space="preserve">    Loan Proceeds</t>
  </si>
  <si>
    <t xml:space="preserve">    Equity Inflow</t>
  </si>
  <si>
    <t>Inflow  ($)</t>
  </si>
  <si>
    <t>Expenditures</t>
  </si>
  <si>
    <t xml:space="preserve">    Existing Loan Pymts.</t>
  </si>
  <si>
    <t>Outflow ($)</t>
  </si>
  <si>
    <t>Cashflow ($)</t>
  </si>
  <si>
    <t>Accumulated ($)</t>
  </si>
  <si>
    <t>Fed Beef Costs</t>
  </si>
  <si>
    <t>Feeder Costs</t>
  </si>
  <si>
    <t>Other Costs from Livestock #1 - total $</t>
  </si>
  <si>
    <t>Other Costs from Livestock #2 - total $</t>
  </si>
  <si>
    <t>Annual Totals for Year:</t>
  </si>
  <si>
    <t>Prepared For:</t>
  </si>
  <si>
    <r>
      <t xml:space="preserve">Cost $/lb Live Feeder Calf  -  </t>
    </r>
    <r>
      <rPr>
        <i/>
        <sz val="10"/>
        <rFont val="Arial"/>
        <family val="2"/>
      </rPr>
      <t>Beef Budget &amp; Cashflow  **</t>
    </r>
  </si>
  <si>
    <r>
      <t xml:space="preserve">Cost $/lb Live Fed-beef  -  </t>
    </r>
    <r>
      <rPr>
        <i/>
        <sz val="10"/>
        <rFont val="Arial"/>
        <family val="2"/>
      </rPr>
      <t>BRaNDS Projection Data *</t>
    </r>
  </si>
  <si>
    <r>
      <t xml:space="preserve">Finished Wt. per hd.  -  </t>
    </r>
    <r>
      <rPr>
        <i/>
        <sz val="10"/>
        <rFont val="Arial"/>
        <family val="2"/>
      </rPr>
      <t>BRaNDS Projection Data *</t>
    </r>
  </si>
  <si>
    <r>
      <t xml:space="preserve">Grain Requirement (bu.) -  </t>
    </r>
    <r>
      <rPr>
        <i/>
        <sz val="10"/>
        <rFont val="Arial"/>
        <family val="2"/>
      </rPr>
      <t>BRaNDS Projection Data *</t>
    </r>
  </si>
  <si>
    <r>
      <t xml:space="preserve">Forage (stored) Requirement (tons) -  </t>
    </r>
    <r>
      <rPr>
        <i/>
        <sz val="10"/>
        <rFont val="Arial"/>
        <family val="2"/>
      </rPr>
      <t>BRaNDS Projection Data *</t>
    </r>
  </si>
  <si>
    <r>
      <t xml:space="preserve">Grain Requirement (bu) -  </t>
    </r>
    <r>
      <rPr>
        <i/>
        <sz val="10"/>
        <rFont val="Arial"/>
        <family val="2"/>
      </rPr>
      <t>BRaNDS Projection Data *</t>
    </r>
  </si>
  <si>
    <t>**  the Beef Budget Cashflow program can be used to arrive at this calf value</t>
  </si>
  <si>
    <t>Other Receits from Land #1 - total $</t>
  </si>
  <si>
    <t>Other Receits from Land #2 - total $</t>
  </si>
  <si>
    <t>Other Costs on Land/Crops #1 - total $</t>
  </si>
  <si>
    <t>Other Costs on Land/Crops #2 - total $</t>
  </si>
  <si>
    <t xml:space="preserve">                                          - Livestock</t>
  </si>
  <si>
    <t xml:space="preserve">                                          - Facility</t>
  </si>
  <si>
    <t xml:space="preserve">                                          - Land</t>
  </si>
  <si>
    <t>Cash Revenues from Asset Recovery</t>
  </si>
  <si>
    <t>Pasture Maintenance</t>
  </si>
  <si>
    <t>Facility Maintenance</t>
  </si>
  <si>
    <t>Added Investment Costs       - Machinery</t>
  </si>
  <si>
    <t>Revenues - Asset Recovery  - Machinery</t>
  </si>
  <si>
    <t>$/acre Gross  - Cropland Acres (if rented)</t>
  </si>
  <si>
    <t>$/acre Gross  - Pasture Acres (if rented)</t>
  </si>
  <si>
    <t>$/yard head space Gross - Facility (if rented)</t>
  </si>
  <si>
    <t>CROP VALUES</t>
  </si>
  <si>
    <t>LAND OUTPUT year 1</t>
  </si>
  <si>
    <t>rev</t>
  </si>
  <si>
    <t>costs</t>
  </si>
  <si>
    <t>pasture mant.</t>
  </si>
  <si>
    <t>LAND OUTPUT year 2</t>
  </si>
  <si>
    <t>LAND OUTPUT year 5</t>
  </si>
  <si>
    <t>LAND OUTPUT year 4</t>
  </si>
  <si>
    <t>LAND OUTPUT year 3</t>
  </si>
  <si>
    <t>Cropland Maintenance</t>
  </si>
  <si>
    <t>Cash Crop Production Costs</t>
  </si>
  <si>
    <t>Cash Crop Revenues</t>
  </si>
  <si>
    <t>Year 2                                - Machinery</t>
  </si>
  <si>
    <t>Year 1                                - Machinery</t>
  </si>
  <si>
    <t>Year 3                                 - Machinery</t>
  </si>
  <si>
    <t>Year 4                                - Machinery</t>
  </si>
  <si>
    <t>Year 5                                 - Machinery</t>
  </si>
  <si>
    <t>Investments Not Already Included in Production Costs</t>
  </si>
  <si>
    <t>Current Year</t>
  </si>
  <si>
    <t>Personal Equity</t>
  </si>
  <si>
    <t>Existing Loan Repayment</t>
  </si>
  <si>
    <t>Term Loan</t>
  </si>
  <si>
    <t>Interest Rate %</t>
  </si>
  <si>
    <t>Year of Loan (1,2,3,4,5)</t>
  </si>
  <si>
    <t>Select Print from Excel Menu to print sheet below.</t>
  </si>
  <si>
    <t>Total $ per year</t>
  </si>
  <si>
    <t>Investment</t>
  </si>
  <si>
    <t xml:space="preserve">Financing </t>
  </si>
  <si>
    <t>Operating Line of Credit</t>
  </si>
  <si>
    <t>Term (months)</t>
  </si>
  <si>
    <t>Month of Loan ( 1 - 12)</t>
  </si>
  <si>
    <t xml:space="preserve">    New Term Loan -Principal</t>
  </si>
  <si>
    <t xml:space="preserve">    New Term Loan -Interest</t>
  </si>
  <si>
    <t xml:space="preserve">    Operating Loan -Principle</t>
  </si>
  <si>
    <t xml:space="preserve">    Operating Loan - Interest</t>
  </si>
  <si>
    <t>Estimated $ Amount - yr 1</t>
  </si>
  <si>
    <t xml:space="preserve">- yr 2  </t>
  </si>
  <si>
    <t xml:space="preserve">- yr 3  </t>
  </si>
  <si>
    <t xml:space="preserve">- yr 4  </t>
  </si>
  <si>
    <t xml:space="preserve">- yr 5  </t>
  </si>
  <si>
    <t>Cost $/lb Live Fed-beef  -  BRaNDS Projection Data *</t>
  </si>
  <si>
    <t>Finished Wt. per hd.  -  BRaNDS Projection Data *</t>
  </si>
  <si>
    <t>Cost $/lb Live Feeder Calf  -  Beef Budget &amp; Cashflow  **</t>
  </si>
  <si>
    <t>Grain Requirement (bu.) -  BRaNDS Projection Data *</t>
  </si>
  <si>
    <t>Forage (stored) Requirement (tons) -  BRaNDS Projection Data *</t>
  </si>
  <si>
    <t>Pasture Requirement (tons) -  BRaNDS Projection Data *</t>
  </si>
  <si>
    <t>Grain Requirement (bu) -  BRaNDS Projection Data *</t>
  </si>
  <si>
    <t>Forage Yield tons/acre - as fed</t>
  </si>
  <si>
    <t>Pasture Yield tons/acre - as fed</t>
  </si>
  <si>
    <r>
      <t xml:space="preserve">Pasture Requirement (tons as fed) -  </t>
    </r>
    <r>
      <rPr>
        <i/>
        <sz val="10"/>
        <rFont val="Arial"/>
        <family val="2"/>
      </rPr>
      <t>BRaNDS Projection Data *</t>
    </r>
  </si>
  <si>
    <t>Feedyard Head Space Required</t>
  </si>
  <si>
    <t>Forage Acres Required (year 1)</t>
  </si>
  <si>
    <t>Grain Acres Required (year 1)</t>
  </si>
  <si>
    <t>Pasture Acres Required (year 1)</t>
  </si>
  <si>
    <t>ANNUAL CHARGES  (all combined charges on both acres rented and acres owned)</t>
  </si>
  <si>
    <t xml:space="preserve">$/acre Input Charges - Forage Acres </t>
  </si>
  <si>
    <t>Surplus Cropland Rented Out - acres</t>
  </si>
  <si>
    <t>Surplus Pasture Rented Out - acres</t>
  </si>
  <si>
    <t xml:space="preserve">Surplus Feedyard Head Space - Rented Out </t>
  </si>
  <si>
    <t>from Surplus Cropland Rented Out - acres</t>
  </si>
  <si>
    <t>from Surplus Pasture Rented Out - acres</t>
  </si>
  <si>
    <t xml:space="preserve">from Surplus Feedyard Head Space - Rented Out </t>
  </si>
  <si>
    <t>Cropland Rents</t>
  </si>
  <si>
    <t>Pasture Rents</t>
  </si>
  <si>
    <t>Facility Rents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</si>
</sst>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sz val="12"/>
      <color indexed="22"/>
      <name val="Arial"/>
      <family val="0"/>
    </font>
    <font>
      <b/>
      <sz val="12"/>
      <color indexed="2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22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12"/>
      <name val="Arial"/>
      <family val="2"/>
    </font>
    <font>
      <b/>
      <i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sz val="10"/>
      <color indexed="22"/>
      <name val="Arial"/>
      <family val="0"/>
    </font>
    <font>
      <b/>
      <i/>
      <sz val="10"/>
      <color indexed="17"/>
      <name val="Arial"/>
      <family val="2"/>
    </font>
    <font>
      <b/>
      <sz val="12"/>
      <name val="Arial"/>
      <family val="2"/>
    </font>
    <font>
      <sz val="11"/>
      <color indexed="12"/>
      <name val="Arial"/>
      <family val="0"/>
    </font>
    <font>
      <b/>
      <sz val="11"/>
      <color indexed="12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3" fillId="2" borderId="9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0" fillId="2" borderId="10" xfId="0" applyFill="1" applyBorder="1" applyAlignment="1">
      <alignment/>
    </xf>
    <xf numFmtId="0" fontId="6" fillId="2" borderId="0" xfId="0" applyFont="1" applyFill="1" applyAlignment="1">
      <alignment/>
    </xf>
    <xf numFmtId="0" fontId="0" fillId="4" borderId="11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2" xfId="0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2" borderId="13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1" fontId="0" fillId="4" borderId="18" xfId="0" applyNumberFormat="1" applyFill="1" applyBorder="1" applyAlignment="1">
      <alignment/>
    </xf>
    <xf numFmtId="1" fontId="0" fillId="4" borderId="19" xfId="0" applyNumberFormat="1" applyFill="1" applyBorder="1" applyAlignment="1">
      <alignment/>
    </xf>
    <xf numFmtId="1" fontId="0" fillId="4" borderId="20" xfId="0" applyNumberFormat="1" applyFill="1" applyBorder="1" applyAlignment="1">
      <alignment/>
    </xf>
    <xf numFmtId="2" fontId="0" fillId="0" borderId="3" xfId="0" applyNumberFormat="1" applyBorder="1" applyAlignment="1" applyProtection="1">
      <alignment/>
      <protection locked="0"/>
    </xf>
    <xf numFmtId="2" fontId="0" fillId="0" borderId="4" xfId="0" applyNumberFormat="1" applyBorder="1" applyAlignment="1" applyProtection="1">
      <alignment/>
      <protection locked="0"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0" borderId="0" xfId="0" applyFont="1" applyAlignment="1">
      <alignment/>
    </xf>
    <xf numFmtId="0" fontId="4" fillId="3" borderId="0" xfId="0" applyFont="1" applyFill="1" applyAlignment="1">
      <alignment/>
    </xf>
    <xf numFmtId="2" fontId="4" fillId="3" borderId="0" xfId="0" applyNumberFormat="1" applyFont="1" applyFill="1" applyAlignment="1">
      <alignment/>
    </xf>
    <xf numFmtId="0" fontId="3" fillId="2" borderId="21" xfId="0" applyFont="1" applyFill="1" applyBorder="1" applyAlignment="1">
      <alignment/>
    </xf>
    <xf numFmtId="0" fontId="0" fillId="5" borderId="22" xfId="0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3" fillId="2" borderId="2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0" borderId="0" xfId="0" applyFill="1" applyAlignment="1">
      <alignment/>
    </xf>
    <xf numFmtId="0" fontId="0" fillId="4" borderId="11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2" xfId="0" applyFill="1" applyBorder="1" applyAlignment="1">
      <alignment/>
    </xf>
    <xf numFmtId="0" fontId="0" fillId="0" borderId="26" xfId="0" applyBorder="1" applyAlignment="1" applyProtection="1">
      <alignment/>
      <protection locked="0"/>
    </xf>
    <xf numFmtId="2" fontId="0" fillId="0" borderId="27" xfId="0" applyNumberFormat="1" applyBorder="1" applyAlignment="1" applyProtection="1">
      <alignment/>
      <protection locked="0"/>
    </xf>
    <xf numFmtId="2" fontId="0" fillId="0" borderId="28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2" fontId="0" fillId="0" borderId="31" xfId="0" applyNumberFormat="1" applyBorder="1" applyAlignment="1" applyProtection="1">
      <alignment/>
      <protection locked="0"/>
    </xf>
    <xf numFmtId="2" fontId="0" fillId="0" borderId="30" xfId="0" applyNumberFormat="1" applyBorder="1" applyAlignment="1" applyProtection="1">
      <alignment/>
      <protection locked="0"/>
    </xf>
    <xf numFmtId="0" fontId="3" fillId="2" borderId="32" xfId="0" applyFont="1" applyFill="1" applyBorder="1" applyAlignment="1">
      <alignment/>
    </xf>
    <xf numFmtId="0" fontId="0" fillId="0" borderId="27" xfId="0" applyBorder="1" applyAlignment="1" applyProtection="1">
      <alignment/>
      <protection locked="0"/>
    </xf>
    <xf numFmtId="0" fontId="4" fillId="2" borderId="32" xfId="0" applyFont="1" applyFill="1" applyBorder="1" applyAlignment="1">
      <alignment/>
    </xf>
    <xf numFmtId="10" fontId="0" fillId="0" borderId="27" xfId="0" applyNumberFormat="1" applyBorder="1" applyAlignment="1" applyProtection="1">
      <alignment/>
      <protection locked="0"/>
    </xf>
    <xf numFmtId="10" fontId="0" fillId="0" borderId="28" xfId="0" applyNumberFormat="1" applyBorder="1" applyAlignment="1" applyProtection="1">
      <alignment/>
      <protection locked="0"/>
    </xf>
    <xf numFmtId="10" fontId="0" fillId="0" borderId="33" xfId="0" applyNumberFormat="1" applyFill="1" applyBorder="1" applyAlignment="1" applyProtection="1">
      <alignment/>
      <protection locked="0"/>
    </xf>
    <xf numFmtId="2" fontId="0" fillId="0" borderId="34" xfId="0" applyNumberFormat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2" fontId="0" fillId="0" borderId="37" xfId="0" applyNumberFormat="1" applyBorder="1" applyAlignment="1" applyProtection="1">
      <alignment/>
      <protection locked="0"/>
    </xf>
    <xf numFmtId="2" fontId="0" fillId="0" borderId="36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10" fontId="0" fillId="0" borderId="34" xfId="0" applyNumberFormat="1" applyBorder="1" applyAlignment="1" applyProtection="1">
      <alignment/>
      <protection locked="0"/>
    </xf>
    <xf numFmtId="10" fontId="0" fillId="0" borderId="22" xfId="0" applyNumberFormat="1" applyBorder="1" applyAlignment="1" applyProtection="1">
      <alignment/>
      <protection locked="0"/>
    </xf>
    <xf numFmtId="10" fontId="0" fillId="0" borderId="38" xfId="0" applyNumberFormat="1" applyFill="1" applyBorder="1" applyAlignment="1" applyProtection="1">
      <alignment/>
      <protection locked="0"/>
    </xf>
    <xf numFmtId="2" fontId="0" fillId="0" borderId="39" xfId="0" applyNumberFormat="1" applyBorder="1" applyAlignment="1" applyProtection="1">
      <alignment/>
      <protection locked="0"/>
    </xf>
    <xf numFmtId="2" fontId="0" fillId="0" borderId="7" xfId="0" applyNumberForma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2" fontId="0" fillId="0" borderId="41" xfId="0" applyNumberFormat="1" applyBorder="1" applyAlignment="1" applyProtection="1">
      <alignment/>
      <protection locked="0"/>
    </xf>
    <xf numFmtId="2" fontId="0" fillId="0" borderId="8" xfId="0" applyNumberForma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10" fontId="0" fillId="0" borderId="39" xfId="0" applyNumberFormat="1" applyBorder="1" applyAlignment="1" applyProtection="1">
      <alignment/>
      <protection locked="0"/>
    </xf>
    <xf numFmtId="10" fontId="0" fillId="0" borderId="7" xfId="0" applyNumberFormat="1" applyBorder="1" applyAlignment="1" applyProtection="1">
      <alignment/>
      <protection locked="0"/>
    </xf>
    <xf numFmtId="10" fontId="0" fillId="0" borderId="8" xfId="0" applyNumberFormat="1" applyFill="1" applyBorder="1" applyAlignment="1" applyProtection="1">
      <alignment/>
      <protection locked="0"/>
    </xf>
    <xf numFmtId="0" fontId="8" fillId="3" borderId="38" xfId="0" applyFont="1" applyFill="1" applyBorder="1" applyAlignment="1">
      <alignment/>
    </xf>
    <xf numFmtId="0" fontId="9" fillId="2" borderId="4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2" borderId="12" xfId="0" applyFont="1" applyFill="1" applyBorder="1" applyAlignment="1">
      <alignment/>
    </xf>
    <xf numFmtId="0" fontId="3" fillId="2" borderId="38" xfId="0" applyFont="1" applyFill="1" applyBorder="1" applyAlignment="1">
      <alignment horizontal="center"/>
    </xf>
    <xf numFmtId="0" fontId="0" fillId="0" borderId="28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3" fillId="2" borderId="43" xfId="0" applyFont="1" applyFill="1" applyBorder="1" applyAlignment="1">
      <alignment horizontal="center"/>
    </xf>
    <xf numFmtId="0" fontId="0" fillId="0" borderId="31" xfId="0" applyFill="1" applyBorder="1" applyAlignment="1" applyProtection="1">
      <alignment/>
      <protection locked="0"/>
    </xf>
    <xf numFmtId="0" fontId="3" fillId="2" borderId="27" xfId="0" applyFont="1" applyFill="1" applyBorder="1" applyAlignment="1">
      <alignment horizontal="center"/>
    </xf>
    <xf numFmtId="0" fontId="0" fillId="4" borderId="44" xfId="0" applyFill="1" applyBorder="1" applyAlignment="1">
      <alignment/>
    </xf>
    <xf numFmtId="0" fontId="0" fillId="4" borderId="11" xfId="0" applyFill="1" applyBorder="1" applyAlignment="1">
      <alignment/>
    </xf>
    <xf numFmtId="0" fontId="11" fillId="2" borderId="0" xfId="0" applyFont="1" applyFill="1" applyAlignment="1">
      <alignment/>
    </xf>
    <xf numFmtId="0" fontId="0" fillId="0" borderId="31" xfId="0" applyBorder="1" applyAlignment="1" applyProtection="1">
      <alignment/>
      <protection locked="0"/>
    </xf>
    <xf numFmtId="2" fontId="0" fillId="0" borderId="32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>
      <alignment horizontal="center"/>
    </xf>
    <xf numFmtId="0" fontId="0" fillId="0" borderId="37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34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2" fillId="0" borderId="9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2" fontId="4" fillId="3" borderId="0" xfId="0" applyNumberFormat="1" applyFont="1" applyFill="1" applyBorder="1" applyAlignment="1">
      <alignment/>
    </xf>
    <xf numFmtId="0" fontId="17" fillId="3" borderId="9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7" xfId="0" applyBorder="1" applyAlignment="1" applyProtection="1">
      <alignment/>
      <protection locked="0"/>
    </xf>
    <xf numFmtId="0" fontId="0" fillId="4" borderId="0" xfId="0" applyFill="1" applyBorder="1" applyAlignment="1">
      <alignment/>
    </xf>
    <xf numFmtId="0" fontId="4" fillId="2" borderId="38" xfId="0" applyFont="1" applyFill="1" applyBorder="1" applyAlignment="1">
      <alignment/>
    </xf>
    <xf numFmtId="2" fontId="0" fillId="0" borderId="5" xfId="0" applyNumberFormat="1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0" fontId="17" fillId="2" borderId="0" xfId="0" applyFont="1" applyFill="1" applyBorder="1" applyAlignment="1">
      <alignment/>
    </xf>
    <xf numFmtId="2" fontId="17" fillId="2" borderId="0" xfId="0" applyNumberFormat="1" applyFont="1" applyFill="1" applyBorder="1" applyAlignment="1" applyProtection="1">
      <alignment/>
      <protection locked="0"/>
    </xf>
    <xf numFmtId="1" fontId="0" fillId="4" borderId="0" xfId="0" applyNumberFormat="1" applyFill="1" applyAlignment="1">
      <alignment/>
    </xf>
    <xf numFmtId="0" fontId="17" fillId="3" borderId="0" xfId="0" applyFont="1" applyFill="1" applyAlignment="1">
      <alignment/>
    </xf>
    <xf numFmtId="0" fontId="8" fillId="3" borderId="9" xfId="0" applyFont="1" applyFill="1" applyBorder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0" fontId="16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9" fillId="2" borderId="31" xfId="0" applyFont="1" applyFill="1" applyBorder="1" applyAlignment="1">
      <alignment/>
    </xf>
    <xf numFmtId="0" fontId="0" fillId="0" borderId="37" xfId="0" applyBorder="1" applyAlignment="1">
      <alignment/>
    </xf>
    <xf numFmtId="0" fontId="0" fillId="4" borderId="26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ill="1" applyBorder="1" applyAlignment="1" quotePrefix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8" fillId="3" borderId="12" xfId="0" applyFont="1" applyFill="1" applyBorder="1" applyAlignment="1">
      <alignment/>
    </xf>
    <xf numFmtId="0" fontId="8" fillId="3" borderId="38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19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9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23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1" fontId="6" fillId="0" borderId="48" xfId="0" applyNumberFormat="1" applyFont="1" applyFill="1" applyBorder="1" applyAlignment="1">
      <alignment/>
    </xf>
    <xf numFmtId="1" fontId="6" fillId="0" borderId="4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9" xfId="0" applyFont="1" applyBorder="1" applyAlignment="1">
      <alignment/>
    </xf>
    <xf numFmtId="1" fontId="6" fillId="0" borderId="23" xfId="0" applyNumberFormat="1" applyFont="1" applyBorder="1" applyAlignment="1">
      <alignment/>
    </xf>
    <xf numFmtId="1" fontId="6" fillId="0" borderId="38" xfId="0" applyNumberFormat="1" applyFont="1" applyFill="1" applyBorder="1" applyAlignment="1">
      <alignment/>
    </xf>
    <xf numFmtId="1" fontId="6" fillId="0" borderId="43" xfId="0" applyNumberFormat="1" applyFont="1" applyFill="1" applyBorder="1" applyAlignment="1">
      <alignment/>
    </xf>
    <xf numFmtId="9" fontId="0" fillId="0" borderId="50" xfId="0" applyNumberFormat="1" applyFill="1" applyBorder="1" applyAlignment="1" applyProtection="1">
      <alignment horizontal="center"/>
      <protection locked="0"/>
    </xf>
    <xf numFmtId="9" fontId="0" fillId="0" borderId="3" xfId="0" applyNumberFormat="1" applyFill="1" applyBorder="1" applyAlignment="1" applyProtection="1">
      <alignment horizontal="center"/>
      <protection locked="0"/>
    </xf>
    <xf numFmtId="9" fontId="0" fillId="0" borderId="4" xfId="0" applyNumberFormat="1" applyFill="1" applyBorder="1" applyAlignment="1" applyProtection="1">
      <alignment horizontal="center"/>
      <protection locked="0"/>
    </xf>
    <xf numFmtId="9" fontId="0" fillId="0" borderId="19" xfId="0" applyNumberFormat="1" applyFill="1" applyBorder="1" applyAlignment="1" applyProtection="1">
      <alignment horizontal="center"/>
      <protection locked="0"/>
    </xf>
    <xf numFmtId="9" fontId="0" fillId="0" borderId="1" xfId="0" applyNumberFormat="1" applyFill="1" applyBorder="1" applyAlignment="1" applyProtection="1">
      <alignment horizontal="center"/>
      <protection locked="0"/>
    </xf>
    <xf numFmtId="9" fontId="0" fillId="0" borderId="6" xfId="0" applyNumberFormat="1" applyFill="1" applyBorder="1" applyAlignment="1" applyProtection="1">
      <alignment horizontal="center"/>
      <protection locked="0"/>
    </xf>
    <xf numFmtId="9" fontId="0" fillId="0" borderId="20" xfId="0" applyNumberFormat="1" applyFill="1" applyBorder="1" applyAlignment="1" applyProtection="1">
      <alignment horizontal="center"/>
      <protection locked="0"/>
    </xf>
    <xf numFmtId="9" fontId="0" fillId="0" borderId="5" xfId="0" applyNumberFormat="1" applyFill="1" applyBorder="1" applyAlignment="1" applyProtection="1">
      <alignment horizontal="center"/>
      <protection locked="0"/>
    </xf>
    <xf numFmtId="9" fontId="0" fillId="0" borderId="15" xfId="0" applyNumberForma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/>
    </xf>
    <xf numFmtId="0" fontId="4" fillId="3" borderId="37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1" fontId="20" fillId="3" borderId="0" xfId="0" applyNumberFormat="1" applyFont="1" applyFill="1" applyBorder="1" applyAlignment="1">
      <alignment/>
    </xf>
    <xf numFmtId="0" fontId="21" fillId="3" borderId="0" xfId="0" applyFont="1" applyFill="1" applyAlignment="1">
      <alignment horizontal="center"/>
    </xf>
    <xf numFmtId="8" fontId="3" fillId="3" borderId="0" xfId="0" applyNumberFormat="1" applyFont="1" applyFill="1" applyAlignment="1">
      <alignment/>
    </xf>
    <xf numFmtId="1" fontId="20" fillId="3" borderId="0" xfId="0" applyNumberFormat="1" applyFont="1" applyFill="1" applyAlignment="1">
      <alignment/>
    </xf>
    <xf numFmtId="2" fontId="20" fillId="3" borderId="0" xfId="0" applyNumberFormat="1" applyFont="1" applyFill="1" applyAlignment="1">
      <alignment/>
    </xf>
    <xf numFmtId="0" fontId="21" fillId="3" borderId="37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1" fontId="0" fillId="4" borderId="47" xfId="0" applyNumberFormat="1" applyFill="1" applyBorder="1" applyAlignment="1" applyProtection="1">
      <alignment/>
      <protection/>
    </xf>
    <xf numFmtId="1" fontId="0" fillId="4" borderId="51" xfId="0" applyNumberFormat="1" applyFill="1" applyBorder="1" applyAlignment="1" applyProtection="1">
      <alignment/>
      <protection/>
    </xf>
    <xf numFmtId="1" fontId="0" fillId="4" borderId="1" xfId="0" applyNumberFormat="1" applyFill="1" applyBorder="1" applyAlignment="1" applyProtection="1">
      <alignment/>
      <protection/>
    </xf>
    <xf numFmtId="1" fontId="0" fillId="4" borderId="6" xfId="0" applyNumberFormat="1" applyFill="1" applyBorder="1" applyAlignment="1" applyProtection="1">
      <alignment/>
      <protection/>
    </xf>
    <xf numFmtId="1" fontId="0" fillId="4" borderId="5" xfId="0" applyNumberFormat="1" applyFill="1" applyBorder="1" applyAlignment="1" applyProtection="1">
      <alignment/>
      <protection/>
    </xf>
    <xf numFmtId="1" fontId="0" fillId="4" borderId="15" xfId="0" applyNumberFormat="1" applyFill="1" applyBorder="1" applyAlignment="1" applyProtection="1">
      <alignment/>
      <protection/>
    </xf>
    <xf numFmtId="1" fontId="4" fillId="2" borderId="38" xfId="0" applyNumberFormat="1" applyFont="1" applyFill="1" applyBorder="1" applyAlignment="1">
      <alignment/>
    </xf>
    <xf numFmtId="1" fontId="0" fillId="0" borderId="3" xfId="0" applyNumberFormat="1" applyBorder="1" applyAlignment="1" applyProtection="1">
      <alignment/>
      <protection locked="0"/>
    </xf>
    <xf numFmtId="1" fontId="0" fillId="0" borderId="4" xfId="0" applyNumberForma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1" fontId="0" fillId="0" borderId="6" xfId="0" applyNumberForma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1" fontId="0" fillId="0" borderId="5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0" borderId="52" xfId="0" applyNumberFormat="1" applyBorder="1" applyAlignment="1" applyProtection="1">
      <alignment/>
      <protection locked="0"/>
    </xf>
    <xf numFmtId="1" fontId="0" fillId="0" borderId="53" xfId="0" applyNumberFormat="1" applyBorder="1" applyAlignment="1" applyProtection="1">
      <alignment/>
      <protection locked="0"/>
    </xf>
    <xf numFmtId="1" fontId="0" fillId="2" borderId="10" xfId="0" applyNumberFormat="1" applyFill="1" applyBorder="1" applyAlignment="1">
      <alignment/>
    </xf>
    <xf numFmtId="1" fontId="0" fillId="2" borderId="13" xfId="0" applyNumberFormat="1" applyFill="1" applyBorder="1" applyAlignment="1">
      <alignment/>
    </xf>
    <xf numFmtId="1" fontId="0" fillId="0" borderId="3" xfId="0" applyNumberFormat="1" applyBorder="1" applyAlignment="1" applyProtection="1">
      <alignment/>
      <protection locked="0"/>
    </xf>
    <xf numFmtId="1" fontId="0" fillId="0" borderId="50" xfId="0" applyNumberFormat="1" applyBorder="1" applyAlignment="1" applyProtection="1">
      <alignment/>
      <protection locked="0"/>
    </xf>
    <xf numFmtId="1" fontId="0" fillId="0" borderId="4" xfId="0" applyNumberForma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1" fontId="0" fillId="0" borderId="6" xfId="0" applyNumberFormat="1" applyBorder="1" applyAlignment="1" applyProtection="1">
      <alignment/>
      <protection locked="0"/>
    </xf>
    <xf numFmtId="1" fontId="0" fillId="0" borderId="5" xfId="0" applyNumberFormat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0" borderId="54" xfId="0" applyNumberFormat="1" applyBorder="1" applyAlignment="1" applyProtection="1">
      <alignment/>
      <protection locked="0"/>
    </xf>
    <xf numFmtId="1" fontId="0" fillId="0" borderId="55" xfId="0" applyNumberFormat="1" applyBorder="1" applyAlignment="1" applyProtection="1">
      <alignment/>
      <protection locked="0"/>
    </xf>
    <xf numFmtId="1" fontId="0" fillId="0" borderId="56" xfId="0" applyNumberForma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1" fontId="0" fillId="0" borderId="57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1" fontId="0" fillId="0" borderId="47" xfId="0" applyNumberFormat="1" applyFill="1" applyBorder="1" applyAlignment="1" applyProtection="1">
      <alignment/>
      <protection locked="0"/>
    </xf>
    <xf numFmtId="1" fontId="0" fillId="0" borderId="51" xfId="0" applyNumberFormat="1" applyFill="1" applyBorder="1" applyAlignment="1" applyProtection="1">
      <alignment/>
      <protection locked="0"/>
    </xf>
    <xf numFmtId="1" fontId="0" fillId="0" borderId="5" xfId="0" applyNumberFormat="1" applyFill="1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/>
      <protection locked="0"/>
    </xf>
    <xf numFmtId="1" fontId="4" fillId="2" borderId="0" xfId="0" applyNumberFormat="1" applyFont="1" applyFill="1" applyBorder="1" applyAlignment="1">
      <alignment/>
    </xf>
    <xf numFmtId="1" fontId="4" fillId="2" borderId="23" xfId="0" applyNumberFormat="1" applyFont="1" applyFill="1" applyBorder="1" applyAlignment="1">
      <alignment/>
    </xf>
    <xf numFmtId="1" fontId="0" fillId="4" borderId="54" xfId="0" applyNumberFormat="1" applyFont="1" applyFill="1" applyBorder="1" applyAlignment="1">
      <alignment/>
    </xf>
    <xf numFmtId="1" fontId="0" fillId="4" borderId="56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15" xfId="0" applyNumberFormat="1" applyFont="1" applyFill="1" applyBorder="1" applyAlignment="1">
      <alignment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/>
      <protection locked="0"/>
    </xf>
    <xf numFmtId="1" fontId="3" fillId="2" borderId="24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" fontId="0" fillId="0" borderId="47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2" fillId="0" borderId="58" xfId="0" applyFont="1" applyBorder="1" applyAlignment="1">
      <alignment/>
    </xf>
    <xf numFmtId="1" fontId="0" fillId="0" borderId="37" xfId="0" applyNumberFormat="1" applyBorder="1" applyAlignment="1">
      <alignment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19" fillId="0" borderId="4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32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27" xfId="0" applyNumberFormat="1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0" fontId="19" fillId="0" borderId="38" xfId="0" applyFont="1" applyFill="1" applyBorder="1" applyAlignment="1">
      <alignment horizontal="center"/>
    </xf>
    <xf numFmtId="0" fontId="2" fillId="0" borderId="5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1" fontId="0" fillId="4" borderId="2" xfId="0" applyNumberFormat="1" applyFill="1" applyBorder="1" applyAlignment="1" applyProtection="1">
      <alignment/>
      <protection/>
    </xf>
    <xf numFmtId="1" fontId="0" fillId="4" borderId="59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2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1162050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0</xdr:rowOff>
    </xdr:from>
    <xdr:to>
      <xdr:col>7</xdr:col>
      <xdr:colOff>381000</xdr:colOff>
      <xdr:row>3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rcRect r="49801"/>
        <a:stretch>
          <a:fillRect/>
        </a:stretch>
      </xdr:blipFill>
      <xdr:spPr>
        <a:xfrm>
          <a:off x="7181850" y="0"/>
          <a:ext cx="2171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0</xdr:rowOff>
    </xdr:from>
    <xdr:to>
      <xdr:col>5</xdr:col>
      <xdr:colOff>247650</xdr:colOff>
      <xdr:row>3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0"/>
          <a:ext cx="431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28575</xdr:rowOff>
    </xdr:from>
    <xdr:to>
      <xdr:col>2</xdr:col>
      <xdr:colOff>523875</xdr:colOff>
      <xdr:row>17</xdr:row>
      <xdr:rowOff>180975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152775"/>
          <a:ext cx="1152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8</xdr:col>
      <xdr:colOff>304800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76200"/>
          <a:ext cx="91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1162050</xdr:colOff>
      <xdr:row>1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95250</xdr:rowOff>
    </xdr:from>
    <xdr:to>
      <xdr:col>8</xdr:col>
      <xdr:colOff>304800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95250"/>
          <a:ext cx="9144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1162050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95250</xdr:rowOff>
    </xdr:from>
    <xdr:to>
      <xdr:col>8</xdr:col>
      <xdr:colOff>304800</xdr:colOff>
      <xdr:row>2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5250"/>
          <a:ext cx="9144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1162050</xdr:colOff>
      <xdr:row>2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showGridLines="0" showRowColHeaders="0" tabSelected="1" workbookViewId="0" topLeftCell="A1">
      <selection activeCell="C26" sqref="C26"/>
    </sheetView>
  </sheetViews>
  <sheetFormatPr defaultColWidth="9.140625" defaultRowHeight="12.75"/>
  <cols>
    <col min="1" max="1" width="40.57421875" style="0" customWidth="1"/>
    <col min="2" max="2" width="16.140625" style="0" customWidth="1"/>
    <col min="3" max="3" width="16.7109375" style="0" customWidth="1"/>
    <col min="4" max="8" width="15.28125" style="0" customWidth="1"/>
    <col min="9" max="9" width="3.28125" style="0" hidden="1" customWidth="1"/>
    <col min="10" max="16384" width="0" style="0" hidden="1" customWidth="1"/>
  </cols>
  <sheetData>
    <row r="1" spans="1:18" s="9" customFormat="1" ht="12.75">
      <c r="A1" s="12"/>
      <c r="B1" s="12"/>
      <c r="C1" s="12"/>
      <c r="D1" s="12"/>
      <c r="E1" s="12"/>
      <c r="F1" s="12"/>
      <c r="G1" s="12"/>
      <c r="H1" s="12"/>
      <c r="I1"/>
      <c r="J1"/>
      <c r="K1"/>
      <c r="L1"/>
      <c r="M1"/>
      <c r="N1"/>
      <c r="O1"/>
      <c r="P1"/>
      <c r="Q1"/>
      <c r="R1"/>
    </row>
    <row r="2" spans="1:8" ht="15.75">
      <c r="A2" s="20"/>
      <c r="B2" s="20"/>
      <c r="C2" s="20"/>
      <c r="D2" s="20"/>
      <c r="E2" s="20"/>
      <c r="F2" s="20"/>
      <c r="G2" s="20"/>
      <c r="H2" s="20"/>
    </row>
    <row r="3" spans="1:8" ht="15.75">
      <c r="A3" s="20"/>
      <c r="B3" s="20"/>
      <c r="C3" s="20"/>
      <c r="D3" s="20"/>
      <c r="E3" s="20"/>
      <c r="F3" s="20"/>
      <c r="G3" s="20"/>
      <c r="H3" s="20"/>
    </row>
    <row r="4" spans="1:8" ht="15.75">
      <c r="A4" s="287" t="s">
        <v>48</v>
      </c>
      <c r="B4" s="288"/>
      <c r="C4" s="20"/>
      <c r="D4" s="20"/>
      <c r="E4" s="20"/>
      <c r="F4" s="20"/>
      <c r="G4" s="20"/>
      <c r="H4" s="20"/>
    </row>
    <row r="5" spans="1:18" s="16" customFormat="1" ht="15.75">
      <c r="A5" s="288"/>
      <c r="B5" s="288"/>
      <c r="C5" s="22"/>
      <c r="D5" s="43" t="s">
        <v>7</v>
      </c>
      <c r="E5" s="43" t="s">
        <v>15</v>
      </c>
      <c r="F5" s="43" t="s">
        <v>15</v>
      </c>
      <c r="G5" s="43" t="s">
        <v>15</v>
      </c>
      <c r="H5" s="25"/>
      <c r="I5"/>
      <c r="J5"/>
      <c r="K5"/>
      <c r="L5"/>
      <c r="M5"/>
      <c r="N5"/>
      <c r="O5"/>
      <c r="P5"/>
      <c r="Q5"/>
      <c r="R5"/>
    </row>
    <row r="6" spans="1:18" s="16" customFormat="1" ht="15">
      <c r="A6" s="21"/>
      <c r="B6" s="43" t="s">
        <v>17</v>
      </c>
      <c r="C6" s="43" t="s">
        <v>7</v>
      </c>
      <c r="D6" s="43" t="s">
        <v>19</v>
      </c>
      <c r="E6" s="43" t="s">
        <v>20</v>
      </c>
      <c r="F6" s="43" t="s">
        <v>18</v>
      </c>
      <c r="G6" s="43" t="s">
        <v>19</v>
      </c>
      <c r="H6" s="25"/>
      <c r="I6"/>
      <c r="J6"/>
      <c r="K6"/>
      <c r="L6"/>
      <c r="M6"/>
      <c r="N6"/>
      <c r="O6"/>
      <c r="P6"/>
      <c r="Q6"/>
      <c r="R6"/>
    </row>
    <row r="7" spans="1:8" ht="13.5" thickBot="1">
      <c r="A7" s="11"/>
      <c r="B7" s="11"/>
      <c r="C7" s="11"/>
      <c r="D7" s="11"/>
      <c r="E7" s="11"/>
      <c r="F7" s="11"/>
      <c r="G7" s="11"/>
      <c r="H7" s="11"/>
    </row>
    <row r="8" spans="1:8" s="48" customFormat="1" ht="13.5" thickBot="1">
      <c r="A8" s="53"/>
      <c r="B8" s="54"/>
      <c r="C8" s="54"/>
      <c r="D8" s="54"/>
      <c r="E8" s="54"/>
      <c r="F8" s="54"/>
      <c r="G8" s="54"/>
      <c r="H8" s="55"/>
    </row>
    <row r="9" spans="1:8" ht="12.75">
      <c r="A9" s="11"/>
      <c r="B9" s="11"/>
      <c r="C9" s="11"/>
      <c r="D9" s="42" t="s">
        <v>47</v>
      </c>
      <c r="E9" s="11"/>
      <c r="F9" s="11"/>
      <c r="G9" s="11"/>
      <c r="H9" s="11"/>
    </row>
    <row r="10" spans="1:8" ht="16.5" customHeight="1">
      <c r="A10" s="11"/>
      <c r="B10" s="11"/>
      <c r="C10" s="11"/>
      <c r="D10" s="13" t="s">
        <v>45</v>
      </c>
      <c r="E10" s="11"/>
      <c r="F10" s="115" t="str">
        <f>IF(F12=1,"Conventional",IF(F12=2,"Natural",IF(F12=4,"Organic Grain",IF(F12=5,"Organic Grass /Grain",IF(F12=6,"Organic Grass","Natural Grass")))))&amp;" Produced Beef"</f>
        <v>Organic Grass /Grain Produced Beef</v>
      </c>
      <c r="G10" s="11"/>
      <c r="H10" s="11"/>
    </row>
    <row r="11" spans="1:8" ht="16.5" customHeight="1">
      <c r="A11" s="12" t="s">
        <v>23</v>
      </c>
      <c r="B11" s="156">
        <v>1</v>
      </c>
      <c r="C11" s="11"/>
      <c r="D11" s="13" t="s">
        <v>46</v>
      </c>
      <c r="E11" s="11"/>
      <c r="F11" s="116"/>
      <c r="G11" s="11"/>
      <c r="H11" s="11"/>
    </row>
    <row r="12" spans="1:8" ht="16.5" customHeight="1">
      <c r="A12" s="12" t="s">
        <v>22</v>
      </c>
      <c r="B12" s="156">
        <v>5</v>
      </c>
      <c r="C12" s="15"/>
      <c r="D12" s="13" t="s">
        <v>50</v>
      </c>
      <c r="E12" s="11"/>
      <c r="F12" s="116">
        <f>B12</f>
        <v>5</v>
      </c>
      <c r="G12" s="11"/>
      <c r="H12" s="11"/>
    </row>
    <row r="13" spans="1:8" ht="16.5" customHeight="1">
      <c r="A13" s="12" t="s">
        <v>21</v>
      </c>
      <c r="B13" s="156">
        <v>1</v>
      </c>
      <c r="C13" s="11"/>
      <c r="D13" s="13" t="s">
        <v>51</v>
      </c>
      <c r="E13" s="11"/>
      <c r="F13" s="117">
        <f>IF(B11&gt;3,5,B13)</f>
        <v>1</v>
      </c>
      <c r="G13" s="11"/>
      <c r="H13" s="11"/>
    </row>
    <row r="14" spans="1:8" ht="16.5" customHeight="1">
      <c r="A14" s="12" t="s">
        <v>142</v>
      </c>
      <c r="B14" s="156">
        <v>2006</v>
      </c>
      <c r="C14" s="11"/>
      <c r="D14" s="13" t="s">
        <v>52</v>
      </c>
      <c r="E14" s="11"/>
      <c r="F14" s="118">
        <f>B14</f>
        <v>2006</v>
      </c>
      <c r="G14" s="11"/>
      <c r="H14" s="11"/>
    </row>
    <row r="15" spans="1:8" ht="16.5" customHeight="1">
      <c r="A15" s="11"/>
      <c r="B15" s="11"/>
      <c r="C15" s="11"/>
      <c r="D15" s="13" t="s">
        <v>53</v>
      </c>
      <c r="E15" s="11"/>
      <c r="F15" s="11"/>
      <c r="G15" s="11"/>
      <c r="H15" s="11"/>
    </row>
    <row r="16" spans="1:8" ht="16.5" customHeight="1" thickBot="1">
      <c r="A16" s="147" t="s">
        <v>148</v>
      </c>
      <c r="B16" s="11"/>
      <c r="C16" s="115">
        <f>1+B13</f>
        <v>2</v>
      </c>
      <c r="D16" s="115">
        <f>2+B13</f>
        <v>3</v>
      </c>
      <c r="E16" s="115">
        <f>3+B13</f>
        <v>4</v>
      </c>
      <c r="F16" s="115">
        <f>4+B13</f>
        <v>5</v>
      </c>
      <c r="G16" s="11"/>
      <c r="H16" s="11"/>
    </row>
    <row r="17" spans="1:8" ht="16.5" customHeight="1">
      <c r="A17" s="120"/>
      <c r="B17" s="121"/>
      <c r="C17" s="121"/>
      <c r="D17" s="122" t="s">
        <v>101</v>
      </c>
      <c r="E17" s="123"/>
      <c r="F17" s="124"/>
      <c r="G17" s="11"/>
      <c r="H17" s="11"/>
    </row>
    <row r="18" spans="1:8" ht="16.5" customHeight="1">
      <c r="A18" s="125"/>
      <c r="B18" s="98"/>
      <c r="C18" s="98"/>
      <c r="D18" s="98"/>
      <c r="E18" s="119"/>
      <c r="F18" s="126"/>
      <c r="G18" s="11"/>
      <c r="H18" s="11"/>
    </row>
    <row r="19" spans="1:8" ht="16.5" customHeight="1">
      <c r="A19" s="125"/>
      <c r="B19" s="98"/>
      <c r="C19" s="98"/>
      <c r="D19" s="98"/>
      <c r="E19" s="119"/>
      <c r="F19" s="126"/>
      <c r="G19" s="11"/>
      <c r="H19" s="11"/>
    </row>
    <row r="20" spans="1:8" ht="16.5" customHeight="1" thickBot="1">
      <c r="A20" s="125"/>
      <c r="B20" s="98"/>
      <c r="C20" s="98"/>
      <c r="D20" s="98"/>
      <c r="E20" s="119"/>
      <c r="F20" s="126"/>
      <c r="G20" s="11"/>
      <c r="H20" s="11"/>
    </row>
    <row r="21" spans="1:8" ht="24.75" customHeight="1">
      <c r="A21" s="285" t="str">
        <f>"Projected Cash Flow - "&amp;" "&amp;F10</f>
        <v>Projected Cash Flow -  Organic Grass /Grain Produced Beef</v>
      </c>
      <c r="B21" s="122"/>
      <c r="C21" s="122"/>
      <c r="D21" s="122"/>
      <c r="E21" s="122"/>
      <c r="F21" s="286"/>
      <c r="G21" s="109"/>
      <c r="H21" s="11"/>
    </row>
    <row r="22" spans="1:8" s="161" customFormat="1" ht="16.5" customHeight="1" thickBot="1">
      <c r="A22" s="157" t="s">
        <v>100</v>
      </c>
      <c r="B22" s="158">
        <f>F14</f>
        <v>2006</v>
      </c>
      <c r="C22" s="158">
        <f>1+B22</f>
        <v>2007</v>
      </c>
      <c r="D22" s="158">
        <f>1+C22</f>
        <v>2008</v>
      </c>
      <c r="E22" s="158">
        <f>1+D22</f>
        <v>2009</v>
      </c>
      <c r="F22" s="159">
        <f>1+E22</f>
        <v>2010</v>
      </c>
      <c r="G22" s="160"/>
      <c r="H22" s="160"/>
    </row>
    <row r="23" spans="1:8" s="165" customFormat="1" ht="16.5" customHeight="1">
      <c r="A23" s="162" t="s">
        <v>87</v>
      </c>
      <c r="B23" s="163"/>
      <c r="C23" s="163"/>
      <c r="D23" s="163"/>
      <c r="E23" s="163"/>
      <c r="F23" s="164"/>
      <c r="G23" s="160"/>
      <c r="H23" s="160"/>
    </row>
    <row r="24" spans="1:8" s="165" customFormat="1" ht="16.5" customHeight="1">
      <c r="A24" s="166" t="str">
        <f>Cattle!A39</f>
        <v>Fed Beef</v>
      </c>
      <c r="B24" s="167">
        <f>IF($F$12=6,Cattle!G39,IF($F$12=5,Cattle!F39,IF($F$12=4,Cattle!E39,IF($F$12=3,Cattle!D39,IF($F$12=2,Cattle!C39,Cattle!B39)))))</f>
        <v>612500</v>
      </c>
      <c r="C24" s="167">
        <f>IF($F$12=6,Cattle!G49,IF($F$12=5,Cattle!F49,IF($F$12=4,Cattle!E49,IF($F$12=3,Cattle!D39,IF($F$12=2,Cattle!C39,Cattle!B39)))))</f>
        <v>612500</v>
      </c>
      <c r="D24" s="167">
        <f>IF($F$12=6,Cattle!G55,IF($F$12=5,Cattle!F55,IF($F$12=4,Cattle!E55,IF($F$12=3,Cattle!D39,IF($F$12=2,Cattle!C39,Cattle!B39)))))</f>
        <v>612500</v>
      </c>
      <c r="E24" s="167">
        <f>IF($F$12=6,Cattle!G61,IF($F$12=5,Cattle!F61,IF($F$12=4,Cattle!E61,IF($F$12=3,Cattle!D39,IF($F$12=2,Cattle!C39,Cattle!B39)))))</f>
        <v>612500</v>
      </c>
      <c r="F24" s="168">
        <f>IF($F$12=6,Cattle!G67,IF($F$12=5,Cattle!F67,IF($F$12=4,Cattle!E67,IF($F$12=3,Cattle!D39,IF($F$12=2,Cattle!C39,Cattle!B39)))))</f>
        <v>750000</v>
      </c>
      <c r="G24" s="160"/>
      <c r="H24" s="160"/>
    </row>
    <row r="25" spans="1:8" s="165" customFormat="1" ht="16.5" customHeight="1">
      <c r="A25" s="166" t="str">
        <f>Cattle!A40</f>
        <v>Feeders</v>
      </c>
      <c r="B25" s="167">
        <f>IF($F$12=6,Cattle!G40,IF($F$12=5,Cattle!F40,IF($F$12=4,Cattle!E40,IF($F$12=3,Cattle!D40,IF($F$12=2,Cattle!C40,Cattle!B40)))))</f>
        <v>0</v>
      </c>
      <c r="C25" s="167">
        <f>IF($F$12=6,Cattle!G50,IF($F$12=5,Cattle!F50,IF($F$12=4,Cattle!E50,IF($F$12=3,Cattle!D40,IF($F$12=2,Cattle!C40,Cattle!B40)))))</f>
        <v>0</v>
      </c>
      <c r="D25" s="167">
        <f>IF($F$12=6,Cattle!G56,IF($F$12=5,Cattle!F56,IF($F$12=4,Cattle!E56,IF($F$12=3,Cattle!D40,IF($F$12=2,Cattle!C40,Cattle!B40)))))</f>
        <v>0</v>
      </c>
      <c r="E25" s="167">
        <f>IF($F$12=6,Cattle!G62,IF($F$12=5,Cattle!F62,IF($F$12=4,Cattle!E62,IF($F$12=3,Cattle!D40,IF($F$12=2,Cattle!C40,Cattle!B40)))))</f>
        <v>0</v>
      </c>
      <c r="F25" s="168">
        <f>IF($F$12=6,Cattle!G68,IF($F$12=5,Cattle!F68,IF($F$12=4,Cattle!E68,IF($F$12=3,Cattle!D40,IF($F$12=2,Cattle!C40,Cattle!B40)))))</f>
        <v>0</v>
      </c>
      <c r="G25" s="160"/>
      <c r="H25" s="160"/>
    </row>
    <row r="26" spans="1:8" s="165" customFormat="1" ht="16.5" customHeight="1">
      <c r="A26" s="166" t="str">
        <f>Cattle!A15</f>
        <v>Other Receits from Livestock #1 - total $</v>
      </c>
      <c r="B26" s="167">
        <f>IF($F$12=6,Cattle!G41,IF($F$12=5,Cattle!F41,IF($F$12=4,Cattle!E41,IF($F$12=3,Cattle!D41,IF($F$12=2,Cattle!C41,Cattle!B41)))))</f>
        <v>5888</v>
      </c>
      <c r="C26" s="167">
        <f>IF($F$12=6,Cattle!G41,IF($F$12=5,Cattle!F41,IF($F$12=4,Cattle!E41,IF($F$12=3,Cattle!D41,IF($F$12=2,Cattle!C41,Cattle!B41)))))</f>
        <v>5888</v>
      </c>
      <c r="D26" s="167">
        <f>IF($F$12=6,Cattle!G41,IF($F$12=5,Cattle!F41,IF($F$12=4,Cattle!E41,IF($F$12=3,Cattle!D41,IF($F$12=2,Cattle!C41,Cattle!B41)))))</f>
        <v>5888</v>
      </c>
      <c r="E26" s="167">
        <f>IF($F$12=6,Cattle!G41,IF($F$12=5,Cattle!F41,IF($F$12=4,Cattle!E41,IF($F$12=3,Cattle!D41,IF($F$12=2,Cattle!C41,Cattle!B41)))))</f>
        <v>5888</v>
      </c>
      <c r="F26" s="168">
        <f>IF($F$12=6,Cattle!G41,IF($F$12=5,Cattle!F41,IF($F$12=4,Cattle!E41,IF($F$12=3,Cattle!D41,IF($F$12=2,Cattle!C41,Cattle!B41)))))</f>
        <v>5888</v>
      </c>
      <c r="G26" s="160"/>
      <c r="H26" s="160"/>
    </row>
    <row r="27" spans="1:8" s="165" customFormat="1" ht="16.5" customHeight="1">
      <c r="A27" s="166" t="str">
        <f>Cattle!A16</f>
        <v>Other Receits from Livestock #2 - total $</v>
      </c>
      <c r="B27" s="167">
        <f>IF($F$12=6,Cattle!G42,IF($F$12=5,Cattle!F42,IF($F$12=4,Cattle!E42,IF($F$12=3,Cattle!D42,IF($F$12=2,Cattle!C42,Cattle!B42)))))</f>
        <v>0</v>
      </c>
      <c r="C27" s="167">
        <f>IF($F$12=6,Cattle!G42,IF($F$12=5,Cattle!F42,IF($F$12=4,Cattle!E42,IF($F$12=3,Cattle!D42,IF($F$12=2,Cattle!C42,Cattle!B42)))))</f>
        <v>0</v>
      </c>
      <c r="D27" s="167">
        <f>IF($F$12=6,Cattle!G42,IF($F$12=5,Cattle!F42,IF($F$12=4,Cattle!E42,IF($F$12=3,Cattle!D42,IF($F$12=2,Cattle!C42,Cattle!B42)))))</f>
        <v>0</v>
      </c>
      <c r="E27" s="167">
        <f>IF($F$12=6,Cattle!G42,IF($F$12=5,Cattle!F42,IF($F$12=4,Cattle!E42,IF($F$12=3,Cattle!D42,IF($F$12=2,Cattle!C42,Cattle!B42)))))</f>
        <v>0</v>
      </c>
      <c r="F27" s="168">
        <f>IF($F$12=6,Cattle!G42,IF($F$12=5,Cattle!F42,IF($F$12=4,Cattle!E42,IF($F$12=3,Cattle!D42,IF($F$12=2,Cattle!C42,Cattle!B42)))))</f>
        <v>0</v>
      </c>
      <c r="G27" s="160"/>
      <c r="H27" s="160"/>
    </row>
    <row r="28" spans="1:8" s="165" customFormat="1" ht="16.5" customHeight="1">
      <c r="A28" s="166" t="s">
        <v>135</v>
      </c>
      <c r="B28" s="167">
        <f>IF($B$12=2,Land!C93,IF($B$12=3,Land!D93,IF($B$12=4,Land!E93,IF($B$12=5,Land!F93,IF($B$12=6,Land!G93,Land!B93)))))</f>
        <v>32270.779999999977</v>
      </c>
      <c r="C28" s="167">
        <f>IF($B$12=2,Land!C102,IF($B$12=3,Land!D102,IF($B$12=4,Land!E102,IF($B$12=5,Land!F102,IF($B$12=6,Land!G102,Land!B102)))))</f>
        <v>41220.78</v>
      </c>
      <c r="D28" s="167">
        <f>IF($B$12=2,Land!C111,IF($B$12=3,Land!D111,IF($B$12=4,Land!E111,IF($B$12=5,Land!F111,IF($B$12=6,Land!G111,Land!B111)))))</f>
        <v>41220.78</v>
      </c>
      <c r="E28" s="167">
        <f>IF($B$12=2,Land!C120,IF($B$12=3,Land!D120,IF($B$12=4,Land!E120,IF($B$12=5,Land!F120,IF($B$12=6,Land!G120,Land!B120)))))</f>
        <v>37062.168000000005</v>
      </c>
      <c r="F28" s="168">
        <f>IF($B$12=2,Land!C129,IF($B$12=3,Land!D129,IF($B$12=4,Land!E129,IF($B$12=5,Land!F129,IF($B$12=6,Land!G129,Land!B129)))))</f>
        <v>37062.168000000005</v>
      </c>
      <c r="G28" s="160"/>
      <c r="H28" s="160"/>
    </row>
    <row r="29" spans="1:8" s="165" customFormat="1" ht="16.5" customHeight="1">
      <c r="A29" s="166" t="s">
        <v>186</v>
      </c>
      <c r="B29" s="167">
        <f>IF($B$12=2,Land!C29*Land!C14,IF($B$12=3,Land!D29*Land!D14,IF(AND($B$12=4,$B$13&gt;3),Land!E29*Land!E14,IF(AND($B$12=5,$B$13&gt;3),Land!F29*Land!F14,IF(AND($B$12=6,$B$13&gt;3),Land!G29*Land!G14,Land!B29*Land!B14)))))</f>
        <v>0</v>
      </c>
      <c r="C29" s="167">
        <f>IF($B$12=2,Land!C29*Land!C14,IF($B$12=3,Land!D29*Land!D14,IF(AND($B$12=4,$B$13&gt;C30),Land!E29*Land!E14,IF(AND($B$12=5,$B$13&gt;3-1),Land!F29*Land!F14,IF(AND($B$12=6,$B$13&gt;3-1),Land!G29*Land!G14,Land!B29*Land!B14)))))</f>
        <v>0</v>
      </c>
      <c r="D29" s="167">
        <f>IF($B$12=2,Land!C29*Land!C14,IF($B$12=3,Land!D29*Land!D14,IF(AND($B$12=4,$B$13&gt;3-2),Land!E29*Land!E14,IF(AND($B$12=5,$B$13&gt;3-2),Land!F29*Land!F14,IF(AND($B$12=6,$B$13&gt;3-2),Land!G29*Land!G14,Land!B29*Land!B14)))))</f>
        <v>0</v>
      </c>
      <c r="E29" s="167">
        <f>IF($B$12=2,Land!C29*Land!C14,IF($B$12=3,Land!D29*Land!D14,IF(AND($B$12=4,$B$13&gt;3-3),Land!E29*Land!E14,IF(AND($B$12=5,$B$13&gt;3-3),Land!F29*Land!F14,IF(AND($B$12=6,$B$13&gt;3-3),Land!G29*Land!G14,Land!B29*Land!B14)))))</f>
        <v>0</v>
      </c>
      <c r="F29" s="168">
        <f>IF($B$12=2,Land!C29*Land!C14,IF($B$12=3,Land!D29*Land!D14,IF(AND($B$12=4,$B$13&gt;3-4),Land!E29*Land!E14,IF(AND($B$12=5,$B$13&gt;3-4),Land!F29*Land!F14,IF(AND($B$12=6,$B$13&gt;3-4),Land!G29*Land!G14,Land!B29*Land!B14)))))</f>
        <v>0</v>
      </c>
      <c r="G29" s="160"/>
      <c r="H29" s="160"/>
    </row>
    <row r="30" spans="1:8" s="165" customFormat="1" ht="16.5" customHeight="1">
      <c r="A30" s="166" t="s">
        <v>187</v>
      </c>
      <c r="B30" s="167">
        <f>IF($B$12=2,Land!C30*Land!C15,IF($B$12=3,Land!D30*Land!D15,IF(AND($B$12=4,$B$13&gt;3),Land!E30*Land!E15,IF(AND($B$12=5,$B$13&gt;3),Land!F30*Land!F15,IF(AND($B$12=6,$B$13&gt;3),Land!G30*Land!G15,Land!B30*Land!B15)))))</f>
        <v>0</v>
      </c>
      <c r="C30" s="167">
        <f>IF($B$12=2,Land!C30*Land!C15,IF($B$12=3,Land!D30*Land!D15,IF(AND($B$12=4,$B$13&gt;3-1),Land!E30*Land!E15,IF(AND($B$12=5,$B$13&gt;3-1),Land!F30*Land!F15,IF(AND($B$12=6,$B$13&gt;3-1),Land!G30*Land!G15,Land!B30*Land!B15)))))</f>
        <v>0</v>
      </c>
      <c r="D30" s="167">
        <f>IF($B$12=2,Land!C30*Land!C15,IF($B$12=3,Land!D30*Land!D15,IF(AND($B$12=4,$B$13&gt;3-2),Land!E30*Land!E15,IF(AND($B$12=5,$B$13&gt;3-2),Land!F30*Land!F15,IF(AND($B$12=6,$B$13&gt;3-2),Land!G30*Land!G15,Land!B30*Land!B15)))))</f>
        <v>0</v>
      </c>
      <c r="E30" s="167">
        <f>IF($B$12=2,Land!C30*Land!C15,IF($B$12=3,Land!D30*Land!D15,IF(AND($B$12=4,$B$13&gt;3-3),Land!E30*Land!E15,IF(AND($B$12=5,$B$13&gt;3-3),Land!F30*Land!F15,IF(AND($B$12=6,$B$13&gt;3-3),Land!G30*Land!G15,Land!B30*Land!B15)))))</f>
        <v>0</v>
      </c>
      <c r="F30" s="168">
        <f>IF($B$12=2,Land!C30*Land!C15,IF($B$12=3,Land!D30*Land!D15,IF(AND($B$12=4,$B$13&gt;3-4),Land!E30*Land!E15,IF(AND($B$12=5,$B$13&gt;3-4),Land!F30*Land!F15,IF(AND($B$12=6,$B$13&gt;3-4),Land!G30*Land!G15,Land!B30*Land!B15)))))</f>
        <v>0</v>
      </c>
      <c r="G30" s="160"/>
      <c r="H30" s="160"/>
    </row>
    <row r="31" spans="1:8" s="165" customFormat="1" ht="16.5" customHeight="1">
      <c r="A31" s="166" t="s">
        <v>188</v>
      </c>
      <c r="B31" s="167">
        <f>IF($B$12=2,Land!C31*Land!C16,IF($B$12=3,Land!D31*Land!D16,IF($B$12=4,Land!E31*Land!E16,IF($B$12=5,Land!F31*Land!F16,IF($B$12=6,Land!G31*Land!G16,Land!B31*Land!B16)))))</f>
        <v>0</v>
      </c>
      <c r="C31" s="167">
        <f>IF($B$12=2,Land!C31*Land!C16,IF($B$12=3,Land!D31*Land!D16,IF($B$12=4,Land!E31*Land!E16,IF($B$12=5,Land!F31*Land!F16,IF($B$12=6,Land!G31*Land!G16,Land!B31*Land!B16)))))</f>
        <v>0</v>
      </c>
      <c r="D31" s="167">
        <f>IF($B$12=2,Land!C31*Land!C16,IF($B$12=3,Land!D31*Land!D16,IF($B$12=4,Land!E31*Land!E16,IF($B$12=5,Land!F31*Land!F16,IF($B$12=6,Land!G31*Land!G16,Land!B31*Land!B16)))))</f>
        <v>0</v>
      </c>
      <c r="E31" s="167">
        <f>IF($B$12=2,Land!C31*Land!C16,IF($B$12=3,Land!D31*Land!D16,IF($B$12=4,Land!E31*Land!E16,IF($B$12=5,Land!F31*Land!F16,IF($B$12=6,Land!G31*Land!G16,Land!B31*Land!B16)))))</f>
        <v>0</v>
      </c>
      <c r="F31" s="168">
        <f>IF($B$12=2,Land!C31*Land!C16,IF($B$12=3,Land!D31*Land!D16,IF($B$12=4,Land!E31*Land!E16,IF($B$12=5,Land!F31*Land!F16,IF($B$12=6,Land!G31*Land!G16,Land!B31*Land!B16)))))</f>
        <v>0</v>
      </c>
      <c r="G31" s="160"/>
      <c r="H31" s="160"/>
    </row>
    <row r="32" spans="1:8" s="165" customFormat="1" ht="16.5" customHeight="1">
      <c r="A32" s="166" t="str">
        <f>Land!A32</f>
        <v>Other Receits from Land #1 - total $</v>
      </c>
      <c r="B32" s="167">
        <f>IF($B$12=2,Land!C32,IF($B$12=3,Land!D32,IF($B$12=4,Land!E32,IF($B$12=5,Land!F32,IF($B$12=6,Land!G32,Land!B32)))))</f>
        <v>0</v>
      </c>
      <c r="C32" s="167">
        <f>IF($B$12=2,Land!C32,IF($B$12=3,Land!D32,IF($B$12=4,Land!E32,IF($B$12=5,Land!F32,IF($B$12=6,Land!G32,Land!B32)))))</f>
        <v>0</v>
      </c>
      <c r="D32" s="167">
        <f>IF($B$12=2,Land!C32,IF($B$12=3,Land!D32,IF($B$12=4,Land!E32,IF($B$12=5,Land!F32,IF($B$12=6,Land!G32,Land!B32)))))</f>
        <v>0</v>
      </c>
      <c r="E32" s="167">
        <f>IF($B$12=2,Land!C32,IF($B$12=3,Land!D32,IF($B$12=4,Land!E32,IF($B$12=5,Land!F32,IF($B$12=6,Land!G32,Land!B32)))))</f>
        <v>0</v>
      </c>
      <c r="F32" s="168">
        <f>IF($B$12=2,Land!C32,IF($B$12=3,Land!D32,IF($B$12=4,Land!E32,IF($B$12=5,Land!F32,IF($B$12=6,Land!G32,Land!B32)))))</f>
        <v>0</v>
      </c>
      <c r="G32" s="160"/>
      <c r="H32" s="160"/>
    </row>
    <row r="33" spans="1:8" s="165" customFormat="1" ht="16.5" customHeight="1">
      <c r="A33" s="166" t="str">
        <f>Land!A33</f>
        <v>Other Receits from Land #2 - total $</v>
      </c>
      <c r="B33" s="167">
        <f>IF($B$12=2,Land!C33,IF($B$12=3,Land!D33,IF($B$12=4,Land!E33,IF($B$12=5,Land!F33,IF($B$12=6,Land!G33,Land!B33)))))</f>
        <v>0</v>
      </c>
      <c r="C33" s="167">
        <f>IF($B$12=2,Land!C33,IF($B$12=3,Land!D33,IF($B$12=4,Land!E33,IF($B$12=5,Land!F33,IF($B$12=6,Land!G33,Land!B33)))))</f>
        <v>0</v>
      </c>
      <c r="D33" s="167">
        <f>IF($B$12=2,Land!C33,IF($B$12=3,Land!D33,IF($B$12=4,Land!E33,IF($B$12=5,Land!F33,IF($B$12=6,Land!G33,Land!B33)))))</f>
        <v>0</v>
      </c>
      <c r="E33" s="167">
        <f>IF($B$12=2,Land!C33,IF($B$12=3,Land!D33,IF($B$12=4,Land!E33,IF($B$12=5,Land!F33,IF($B$12=6,Land!G33,Land!B33)))))</f>
        <v>0</v>
      </c>
      <c r="F33" s="168">
        <f>IF($B$12=2,Land!C33,IF($B$12=3,Land!D33,IF($B$12=4,Land!E33,IF($B$12=5,Land!F33,IF($B$12=6,Land!G33,Land!B33)))))</f>
        <v>0</v>
      </c>
      <c r="G33" s="160"/>
      <c r="H33" s="160"/>
    </row>
    <row r="34" spans="1:8" s="165" customFormat="1" ht="16.5" customHeight="1">
      <c r="A34" s="166" t="s">
        <v>120</v>
      </c>
      <c r="B34" s="167">
        <f>IF($B$12=2,Land!C56,IF($B$12=3,Land!D56,IF($B$12=4,Land!E56,IF($B$12=5,Land!F56,IF($B$12=6,Land!G56,Land!B56)))))</f>
        <v>0</v>
      </c>
      <c r="C34" s="167">
        <f>IF($B$12=2,Land!C60,IF($B$12=3,Land!D60,IF($B$12=4,Land!E60,IF($B$12=5,Land!F60,IF($B$12=6,Land!G60,Land!B60)))))</f>
        <v>0</v>
      </c>
      <c r="D34" s="167">
        <f>IF($B$12=2,Land!C64,IF($B$12=3,Land!D64,IF($B$12=4,Land!E64,IF($B$12=5,Land!F64,IF($B$12=6,Land!G64,Land!B64)))))</f>
        <v>0</v>
      </c>
      <c r="E34" s="167">
        <f>IF($B$12=2,Land!C68,IF($B$12=3,Land!D68,IF($B$12=4,Land!E68,IF($B$12=5,Land!F68,IF($B$12=6,Land!G68,Land!B68)))))</f>
        <v>0</v>
      </c>
      <c r="F34" s="168">
        <f>IF($B$12=2,Land!C72,IF($B$12=3,Land!D72,IF($B$12=4,Land!E72,IF($B$12=5,Land!F72,IF($B$12=6,Land!G72,Land!B72)))))</f>
        <v>0</v>
      </c>
      <c r="G34" s="160"/>
      <c r="H34" s="160"/>
    </row>
    <row r="35" spans="1:8" s="165" customFormat="1" ht="16.5" customHeight="1">
      <c r="A35" s="166" t="str">
        <f>Land!A57</f>
        <v>                                          - Livestock</v>
      </c>
      <c r="B35" s="167">
        <f>IF($B$12=2,Land!C57,IF($B$12=3,Land!D57,IF($B$12=4,Land!E57,IF($B$12=5,Land!F57,IF($B$12=6,Land!G57,Land!B57)))))</f>
        <v>0</v>
      </c>
      <c r="C35" s="167">
        <f>IF($B$12=2,Land!C61,IF($B$12=3,Land!D61,IF($B$12=4,Land!E61,IF($B$12=5,Land!F61,IF($B$12=6,Land!G61,Land!B61)))))</f>
        <v>0</v>
      </c>
      <c r="D35" s="167">
        <f>IF($B$12=2,Land!C65,IF($B$12=3,Land!D65,IF($B$12=4,Land!E65,IF($B$12=5,Land!F65,IF($B$12=6,Land!G65,Land!B65)))))</f>
        <v>0</v>
      </c>
      <c r="E35" s="167">
        <f>IF($B$12=2,Land!C69,IF($B$12=3,Land!D69,IF($B$12=4,Land!E69,IF($B$12=5,Land!F69,IF($B$12=6,Land!G69,Land!B69)))))</f>
        <v>0</v>
      </c>
      <c r="F35" s="168">
        <f>IF($B$12=2,Land!C73,IF($B$12=3,Land!D73,IF($B$12=4,Land!E73,IF($B$12=5,Land!F73,IF($B$12=6,Land!G73,Land!B73)))))</f>
        <v>0</v>
      </c>
      <c r="G35" s="160"/>
      <c r="H35" s="160"/>
    </row>
    <row r="36" spans="1:8" s="165" customFormat="1" ht="16.5" customHeight="1">
      <c r="A36" s="166" t="str">
        <f>Land!A58</f>
        <v>                                          - Facility</v>
      </c>
      <c r="B36" s="167">
        <f>IF($B$12=2,Land!C58,IF($B$12=3,Land!D58,IF($B$12=4,Land!E58,IF($B$12=5,Land!F58,IF($B$12=6,Land!G58,Land!B58)))))</f>
        <v>0</v>
      </c>
      <c r="C36" s="167">
        <f>IF($B$12=2,Land!C62,IF($B$12=3,Land!D62,IF($B$12=4,Land!E62,IF($B$12=5,Land!F62,IF($B$12=6,Land!G62,Land!B62)))))</f>
        <v>0</v>
      </c>
      <c r="D36" s="167">
        <f>IF($B$12=2,Land!C66,IF($B$12=3,Land!D66,IF($B$12=4,Land!E66,IF($B$12=5,Land!F66,IF($B$12=6,Land!G66,Land!B66)))))</f>
        <v>0</v>
      </c>
      <c r="E36" s="167">
        <f>IF($B$12=2,Land!C70,IF($B$12=3,Land!D70,IF($B$12=4,Land!E70,IF($B$12=5,Land!F70,IF($B$12=6,Land!G70,Land!B70)))))</f>
        <v>0</v>
      </c>
      <c r="F36" s="168">
        <f>IF($B$12=2,Land!C74,IF($B$12=3,Land!D74,IF($B$12=4,Land!E74,IF($B$12=5,Land!F74,IF($B$12=6,Land!G74,Land!B74)))))</f>
        <v>0</v>
      </c>
      <c r="G36" s="160"/>
      <c r="H36" s="160"/>
    </row>
    <row r="37" spans="1:8" s="165" customFormat="1" ht="16.5" customHeight="1">
      <c r="A37" s="166" t="str">
        <f>Land!A59</f>
        <v>                                          - Land</v>
      </c>
      <c r="B37" s="167">
        <f>IF($B$12=2,Land!C59,IF($B$12=3,Land!D59,IF($B$12=4,Land!E59,IF($B$12=5,Land!F59,IF($B$12=6,Land!G59,Land!B59)))))</f>
        <v>0</v>
      </c>
      <c r="C37" s="167">
        <f>IF($B$12=2,Land!C63,IF($B$12=3,Land!D63,IF($B$12=4,Land!E63,IF($B$12=5,Land!F63,IF($B$12=6,Land!G63,Land!B63)))))</f>
        <v>0</v>
      </c>
      <c r="D37" s="167">
        <f>IF($B$12=2,Land!C67,IF($B$12=3,Land!D67,IF($B$12=4,Land!E67,IF($B$12=5,Land!F67,IF($B$12=6,Land!G67,Land!B67)))))</f>
        <v>0</v>
      </c>
      <c r="E37" s="167">
        <f>IF($B$12=2,Land!C71,IF($B$12=3,Land!D71,IF($B$12=4,Land!E71,IF($B$12=5,Land!F71,IF($B$12=6,Land!G71,Land!B71)))))</f>
        <v>0</v>
      </c>
      <c r="F37" s="168">
        <f>IF($B$12=2,Land!C75,IF($B$12=3,Land!D75,IF($B$12=4,Land!E75,IF($B$12=5,Land!F75,IF($B$12=6,Land!G75,Land!B75)))))</f>
        <v>0</v>
      </c>
      <c r="G37" s="160"/>
      <c r="H37" s="160"/>
    </row>
    <row r="38" spans="1:8" s="165" customFormat="1" ht="16.5" customHeight="1">
      <c r="A38" s="166" t="s">
        <v>88</v>
      </c>
      <c r="B38" s="167">
        <f>IF(B12=2,Money!C34,IF(B12=3,Money!D34,IF(B12=4,Money!E34,IF(B12=5,Money!F34,IF(B12=6,Money!G34,Money!B34)))))</f>
        <v>0</v>
      </c>
      <c r="C38" s="167">
        <f>IF(B12=2,Money!C35,IF(B12=3,Money!D35,IF(B12=4,Money!E35,IF(B12=5,Money!F35,IF(B12=6,Money!G35,Money!B35)))))</f>
        <v>0</v>
      </c>
      <c r="D38" s="167">
        <f>IF(B12=2,Money!C36,IF(B12=3,Money!D36,IF(B12=4,Money!E36,IF(B12=5,Money!F36,IF(B12=6,Money!G36,Money!B36)))))</f>
        <v>0</v>
      </c>
      <c r="E38" s="167">
        <f>IF(B12=2,Money!C37,IF(B12=3,Money!D37,IF(B12=4,Money!E37,IF(B12=5,Money!F37,IF(B12=6,Money!G37,Money!B37)))))</f>
        <v>0</v>
      </c>
      <c r="F38" s="168">
        <f>IF(B12=2,Money!C38,IF(B12=3,Money!D38,IF(B12=4,Money!E38,IF(B12=5,Money!F38,IF(B12=6,Money!G38,Money!B38)))))</f>
        <v>0</v>
      </c>
      <c r="G38" s="160"/>
      <c r="H38" s="160"/>
    </row>
    <row r="39" spans="1:8" s="165" customFormat="1" ht="16.5" customHeight="1">
      <c r="A39" s="166" t="s">
        <v>89</v>
      </c>
      <c r="B39" s="167">
        <f>IF($B$12=2,Money!C9,IF($B$12=3,Money!D9,IF($B$12=4,Money!E9,IF($B$12=5,Money!F9,IF($B$12=6,Money!G9,Money!B9)))))</f>
        <v>0</v>
      </c>
      <c r="C39" s="167">
        <f>IF($B$12=2,Money!C10,IF($B$12=3,Money!D10,IF($B$12=4,Money!E10,IF($B$12=5,Money!F10,IF($B$12=6,Money!G10,Money!B10)))))</f>
        <v>0</v>
      </c>
      <c r="D39" s="167">
        <f>IF($B$12=2,Money!C11,IF($B$12=3,Money!D11,IF($B$12=4,Money!E11,IF($B$12=5,Money!F11,IF($B$12=6,Money!G11,Money!B11)))))</f>
        <v>0</v>
      </c>
      <c r="E39" s="167">
        <f>IF($B$12=2,Money!C12,IF($B$12=3,Money!D12,IF($B$12=4,Money!E12,IF($B$12=5,Money!F12,IF($B$12=6,Money!G12,Money!B12)))))</f>
        <v>0</v>
      </c>
      <c r="F39" s="168">
        <f>IF($B$12=2,Money!C13,IF($B$12=3,Money!D13,IF($B$12=4,Money!E13,IF($B$12=5,Money!F13,IF($B$12=6,Money!G13,Money!B13)))))</f>
        <v>0</v>
      </c>
      <c r="G39" s="160"/>
      <c r="H39" s="160"/>
    </row>
    <row r="40" spans="1:8" s="165" customFormat="1" ht="16.5" customHeight="1" thickBot="1">
      <c r="A40" s="169"/>
      <c r="B40" s="170"/>
      <c r="C40" s="170"/>
      <c r="D40" s="170"/>
      <c r="E40" s="170"/>
      <c r="F40" s="171"/>
      <c r="G40" s="160"/>
      <c r="H40" s="160"/>
    </row>
    <row r="41" spans="1:8" s="165" customFormat="1" ht="16.5" customHeight="1" thickBot="1">
      <c r="A41" s="172" t="s">
        <v>90</v>
      </c>
      <c r="B41" s="173">
        <f>SUM(B24:B40)</f>
        <v>650658.78</v>
      </c>
      <c r="C41" s="173">
        <f>SUM(C24:C40)</f>
        <v>659608.78</v>
      </c>
      <c r="D41" s="173">
        <f>SUM(D24:D40)</f>
        <v>659608.78</v>
      </c>
      <c r="E41" s="173">
        <f>SUM(E24:E40)</f>
        <v>655450.1680000001</v>
      </c>
      <c r="F41" s="174">
        <f>SUM(F24:F40)</f>
        <v>792950.1680000001</v>
      </c>
      <c r="G41" s="160"/>
      <c r="H41" s="160"/>
    </row>
    <row r="42" spans="1:8" s="165" customFormat="1" ht="15">
      <c r="A42" s="166"/>
      <c r="B42" s="175"/>
      <c r="C42" s="175"/>
      <c r="D42" s="175"/>
      <c r="E42" s="175"/>
      <c r="F42" s="176"/>
      <c r="G42" s="160"/>
      <c r="H42" s="160"/>
    </row>
    <row r="43" spans="1:8" s="165" customFormat="1" ht="15.75">
      <c r="A43" s="177" t="s">
        <v>91</v>
      </c>
      <c r="B43" s="175"/>
      <c r="C43" s="175"/>
      <c r="D43" s="175"/>
      <c r="E43" s="175"/>
      <c r="F43" s="176"/>
      <c r="G43" s="160"/>
      <c r="H43" s="160"/>
    </row>
    <row r="44" spans="1:8" s="165" customFormat="1" ht="15">
      <c r="A44" s="166" t="s">
        <v>96</v>
      </c>
      <c r="B44" s="167">
        <f>IF(B12=1,Cattle!B36*Cattle!B9*Cattle!B10,IF(B12=2,Cattle!C9*Cattle!C10*Cattle!C36,IF(OutPut!B12=3,Cattle!D36*Cattle!D9*Cattle!D10,IF(OutPut!B12=4,Cattle!E9*Cattle!E10*Cattle!E36,IF(OutPut!B12=5,Cattle!F36*Cattle!F10*Cattle!F9,Cattle!G9*Cattle!G10*Cattle!G36)))))</f>
        <v>525000</v>
      </c>
      <c r="C44" s="167">
        <f>IF(B12=1,Cattle!B36*Cattle!B9*Cattle!B10,IF(B12=2,Cattle!C9*Cattle!C10*Cattle!C36,IF(OutPut!B12=3,Cattle!D36*Cattle!D9*Cattle!D10,IF(OutPut!B12=4,Cattle!E9*Cattle!E10*Cattle!E46,IF(OutPut!B12=5,Cattle!F46*Cattle!F10*Cattle!F9,Cattle!G9*Cattle!G10*Cattle!G46)))))</f>
        <v>525000</v>
      </c>
      <c r="D44" s="167">
        <f>IF(B12=1,Cattle!B36*Cattle!B9*Cattle!B10,IF(B12=2,Cattle!C9*Cattle!C10*Cattle!C36,IF(OutPut!B12=3,Cattle!D36*Cattle!D9*Cattle!D10,IF(OutPut!B12=4,Cattle!E9*Cattle!E10*Cattle!E52,IF(OutPut!B12=5,Cattle!F52*Cattle!F10*Cattle!F9,Cattle!G9*Cattle!G10*Cattle!G52)))))</f>
        <v>525000</v>
      </c>
      <c r="E44" s="167">
        <f>IF(B12=1,Cattle!B36*Cattle!B9*Cattle!B10,IF(B12=2,Cattle!C9*Cattle!C10*Cattle!C36,IF(OutPut!B12=3,Cattle!D36*Cattle!D9*Cattle!D10,IF(OutPut!B12=4,Cattle!E9*Cattle!E10*Cattle!E58,IF(OutPut!B12=5,Cattle!F58*Cattle!F10*Cattle!F9,Cattle!G9*Cattle!G10*Cattle!G58)))))</f>
        <v>525000</v>
      </c>
      <c r="F44" s="168">
        <f>IF(B12=1,Cattle!B36*Cattle!B9*Cattle!B10,IF(B12=2,Cattle!C9*Cattle!C10*Cattle!C36,IF(OutPut!B12=3,Cattle!D36*Cattle!D9*Cattle!D10,IF(OutPut!B12=4,Cattle!E9*Cattle!E10*Cattle!E64,IF(OutPut!B12=5,Cattle!F64*Cattle!F10*Cattle!F9,Cattle!G9*Cattle!G10*Cattle!G64)))))</f>
        <v>718750</v>
      </c>
      <c r="G44" s="160"/>
      <c r="H44" s="160"/>
    </row>
    <row r="45" spans="1:8" s="165" customFormat="1" ht="15">
      <c r="A45" s="166" t="s">
        <v>97</v>
      </c>
      <c r="B45" s="178">
        <f>IF(B12=1,Cattle!B38*Cattle!B13*Cattle!B14,IF(B12=2,Cattle!C38*Cattle!C14*Cattle!C13,IF(OutPut!B12=3,Cattle!D13*Cattle!D14*Cattle!D38,IF(OutPut!B12=4,Cattle!E38*Cattle!E14*Cattle!E13,IF(OutPut!B12=5,Cattle!F13*Cattle!F14*Cattle!F38,Cattle!G38*Cattle!G14*Cattle!G13)))))</f>
        <v>0</v>
      </c>
      <c r="C45" s="167">
        <f>IF(B12=1,Cattle!B38*Cattle!B13*Cattle!B14,IF(B12=2,Cattle!C38*Cattle!C14*Cattle!C13,IF(OutPut!B12=3,Cattle!D13*Cattle!D14*Cattle!D38,IF(OutPut!B12=4,Cattle!E48*Cattle!E14*Cattle!E13,IF(OutPut!B12=5,Cattle!F13*Cattle!F14*Cattle!F48,Cattle!G48*Cattle!G14*Cattle!G13)))))</f>
        <v>0</v>
      </c>
      <c r="D45" s="167">
        <f>IF(B12=1,Cattle!B38*Cattle!B13*Cattle!B14,IF(B12=2,Cattle!C38*Cattle!C14*Cattle!C13,IF(OutPut!B12=3,Cattle!D13*Cattle!D14*Cattle!D38,IF(OutPut!B12=4,Cattle!E54*Cattle!E14*Cattle!E13,IF(OutPut!B12=5,Cattle!F13*Cattle!F14*Cattle!F54,Cattle!G54*Cattle!G14*Cattle!G13)))))</f>
        <v>0</v>
      </c>
      <c r="E45" s="167">
        <f>IF(B12=1,Cattle!B38*Cattle!B13*Cattle!B14,IF(B12=2,Cattle!C38*Cattle!C14*Cattle!C13,IF(OutPut!B12=3,Cattle!D13*Cattle!D14*Cattle!D38,IF(OutPut!B12=4,Cattle!E60*Cattle!E14*Cattle!E13,IF(OutPut!B12=5,Cattle!F13*Cattle!F14*Cattle!F60,Cattle!G60*Cattle!G14*Cattle!G13)))))</f>
        <v>0</v>
      </c>
      <c r="F45" s="168">
        <f>IF(B12=1,Cattle!B38*Cattle!B13*Cattle!B14,IF(B12=2,Cattle!C38*Cattle!C14*Cattle!C13,IF(OutPut!B12=3,Cattle!D13*Cattle!D14*Cattle!D38,IF(OutPut!B12=4,Cattle!E64*Cattle!E14*Cattle!E13,IF(OutPut!B12=5,Cattle!F13*Cattle!F14*Cattle!F64,Cattle!G64*Cattle!G14*Cattle!G13)))))</f>
        <v>0</v>
      </c>
      <c r="G45" s="160"/>
      <c r="H45" s="160"/>
    </row>
    <row r="46" spans="1:8" s="161" customFormat="1" ht="15">
      <c r="A46" s="179" t="str">
        <f>Cattle!A17</f>
        <v>Other Costs from Livestock #1 - total $</v>
      </c>
      <c r="B46" s="178">
        <f>IF($F$12=6,Cattle!G43,IF($F$12=5,Cattle!F43,IF($F$12=4,Cattle!E43,IF($F$12=3,Cattle!D43,IF($F$12=2,Cattle!C43,Cattle!B43)))))</f>
        <v>0</v>
      </c>
      <c r="C46" s="178">
        <f>IF($F$12=6,Cattle!G43,IF($F$12=5,Cattle!F43,IF($F$12=4,Cattle!E43,IF($F$12=3,Cattle!D43,IF($F$12=2,Cattle!C43,Cattle!B43)))))</f>
        <v>0</v>
      </c>
      <c r="D46" s="178">
        <f>IF($F$12=6,Cattle!G43,IF($F$12=5,Cattle!F43,IF($F$12=4,Cattle!E43,IF($F$12=3,Cattle!D43,IF($F$12=2,Cattle!C43,Cattle!B43)))))</f>
        <v>0</v>
      </c>
      <c r="E46" s="178">
        <f>IF($F$12=6,Cattle!G43,IF($F$12=5,Cattle!F43,IF($F$12=4,Cattle!E43,IF($F$12=3,Cattle!D43,IF($F$12=2,Cattle!C43,Cattle!B43)))))</f>
        <v>0</v>
      </c>
      <c r="F46" s="180">
        <f>IF($F$12=6,Cattle!G43,IF($F$12=5,Cattle!F43,IF($F$12=4,Cattle!E43,IF($F$12=3,Cattle!D43,IF($F$12=2,Cattle!C43,Cattle!B43)))))</f>
        <v>0</v>
      </c>
      <c r="G46" s="160"/>
      <c r="H46" s="160"/>
    </row>
    <row r="47" spans="1:8" s="161" customFormat="1" ht="15">
      <c r="A47" s="179" t="str">
        <f>Cattle!A18</f>
        <v>Other Costs from Livestock #2 - total $</v>
      </c>
      <c r="B47" s="178">
        <f>IF($F$12=6,Cattle!G44,IF($F$12=5,Cattle!F44,IF($F$12=4,Cattle!E44,IF($F$12=3,Cattle!D44,IF($F$12=2,Cattle!C44,Cattle!B44)))))</f>
        <v>0</v>
      </c>
      <c r="C47" s="178">
        <f>IF($F$12=6,Cattle!G44,IF($F$12=5,Cattle!F44,IF($F$12=4,Cattle!E44,IF($F$12=3,Cattle!D44,IF($F$12=2,Cattle!C44,Cattle!B44)))))</f>
        <v>0</v>
      </c>
      <c r="D47" s="178">
        <f>IF($F$12=6,Cattle!G44,IF($F$12=5,Cattle!F44,IF($F$12=4,Cattle!E44,IF($F$12=3,Cattle!D44,IF($F$12=2,Cattle!C44,Cattle!B44)))))</f>
        <v>0</v>
      </c>
      <c r="E47" s="178">
        <f>IF($F$12=6,Cattle!G44,IF($F$12=5,Cattle!F44,IF($F$12=4,Cattle!E44,IF($F$12=3,Cattle!D44,IF($F$12=2,Cattle!C44,Cattle!B44)))))</f>
        <v>0</v>
      </c>
      <c r="F47" s="180">
        <f>IF($F$12=6,Cattle!G44,IF($F$12=5,Cattle!F44,IF($F$12=4,Cattle!E44,IF($F$12=3,Cattle!D44,IF($F$12=2,Cattle!C44,Cattle!B44)))))</f>
        <v>0</v>
      </c>
      <c r="G47" s="160"/>
      <c r="H47" s="160"/>
    </row>
    <row r="48" spans="1:8" s="161" customFormat="1" ht="15">
      <c r="A48" s="166" t="s">
        <v>134</v>
      </c>
      <c r="B48" s="178">
        <f>IF($F$12=6,Land!G94,IF($F$12=5,Land!F94,IF($F$12=4,Land!E94,IF($F$12=3,Land!D94,IF($F$12=2,Land!C94,Land!B94)))))</f>
        <v>576.0995670995562</v>
      </c>
      <c r="C48" s="178">
        <f>IF($F$12=6,Land!G103,IF($F$12=5,Land!F103,IF($F$12=4,Land!E103,IF($F$12=3,Land!D103,IF($F$12=2,Land!C103,Land!B103)))))</f>
        <v>576.0995670995562</v>
      </c>
      <c r="D48" s="178">
        <f>IF($F$12=6,Land!G112,IF($F$12=5,Land!F112,IF($F$12=4,Land!E112,IF($F$12=3,Land!D112,IF($F$12=2,Land!C112,Land!B112)))))</f>
        <v>576.0995670995562</v>
      </c>
      <c r="E48" s="178">
        <f>IF($F$12=6,Land!G121,IF($F$12=5,Land!F121,IF($F$12=4,Land!E121,IF($F$12=3,Land!D121,IF($F$12=2,Land!C121,Land!B121)))))</f>
        <v>576.0995670995562</v>
      </c>
      <c r="F48" s="180">
        <f>IF($F$12=6,Land!G130,IF($F$12=5,Land!F130,IF($F$12=4,Land!E130,IF($F$12=3,Land!D130,IF($F$12=2,Land!C130,Land!B130)))))</f>
        <v>576.0995670995562</v>
      </c>
      <c r="G48" s="160"/>
      <c r="H48" s="160"/>
    </row>
    <row r="49" spans="1:8" s="161" customFormat="1" ht="15">
      <c r="A49" s="166" t="s">
        <v>133</v>
      </c>
      <c r="B49" s="178">
        <f>IF($B$12=2,Land!C21*Land!C14,IF($B$12=3,Land!D21*Land!D14,IF($B$12=4,Land!E21*Land!E14,IF($B$12=5,Land!F21*Land!F14,IF($B$12=6,Land!G21*Land!G14,Land!B21*Land!B14)))))</f>
        <v>0</v>
      </c>
      <c r="C49" s="178">
        <f>IF($B$12=2,Land!C21*Land!C14,IF($B$12=3,Land!D21*Land!D14,IF($B$12=4,Land!E21*Land!E14,IF($B$12=5,Land!F21*Land!F14,IF($B$12=6,Land!G21*Land!G14,Land!B21*Land!B14)))))</f>
        <v>0</v>
      </c>
      <c r="D49" s="178">
        <f>IF($B$12=2,Land!C21*Land!C14,IF($B$12=3,Land!D21*Land!D14,IF($B$12=4,Land!E21*Land!E14,IF($B$12=5,Land!F21*Land!F14,IF($B$12=6,Land!G21*Land!G14,Land!B21*Land!B14)))))</f>
        <v>0</v>
      </c>
      <c r="E49" s="178">
        <f>IF($B$12=2,Land!C21*Land!C14,IF($B$12=3,Land!D21*Land!D14,IF($B$12=4,Land!E21*Land!E14,IF($B$12=5,Land!F21*Land!F14,IF($B$12=6,Land!G21*Land!G14,Land!B21*Land!B14)))))</f>
        <v>0</v>
      </c>
      <c r="F49" s="180">
        <f>IF($B$12=2,Land!C21*Land!C14,IF($B$12=3,Land!D21*Land!D14,IF($B$12=4,Land!E21*Land!E14,IF($B$12=5,Land!F21*Land!F14,IF($B$12=6,Land!G21*Land!G14,Land!B21*Land!B14)))))</f>
        <v>0</v>
      </c>
      <c r="G49" s="160"/>
      <c r="H49" s="160"/>
    </row>
    <row r="50" spans="1:8" s="161" customFormat="1" ht="15">
      <c r="A50" s="166" t="s">
        <v>117</v>
      </c>
      <c r="B50" s="178">
        <f>IF($B$12=2,Land!C85,IF($B$12=3,Land!D85,IF($B$12=4,Land!E85,IF($B$12=5,Land!F85,IF($B$12=6,Land!G85,Land!B85)))))</f>
        <v>1800</v>
      </c>
      <c r="C50" s="178">
        <f>IF($B$12=2,Land!C85,IF($B$12=3,Land!D85,IF($B$12=4,Land!E85,IF($B$12=5,Land!F85,IF($B$12=6,Land!G85,Land!B85)))))</f>
        <v>1800</v>
      </c>
      <c r="D50" s="178">
        <f>IF($B$12=2,Land!C85,IF($B$12=3,Land!D85,IF($B$12=4,Land!E85,IF($B$12=5,Land!F85,IF($B$12=6,Land!G85,Land!B85)))))</f>
        <v>1800</v>
      </c>
      <c r="E50" s="178">
        <f>IF($B$12=2,Land!C85,IF($B$12=3,Land!D85,IF($B$12=4,Land!E85,IF($B$12=5,Land!F85,IF($B$12=6,Land!G85,Land!B85)))))</f>
        <v>1800</v>
      </c>
      <c r="F50" s="180">
        <f>IF($B$12=2,Land!C85,IF($B$12=3,Land!D85,IF($B$12=4,Land!E85,IF($B$12=5,Land!F85,IF($B$12=6,Land!G85,Land!B85)))))</f>
        <v>1800</v>
      </c>
      <c r="G50" s="160"/>
      <c r="H50" s="160"/>
    </row>
    <row r="51" spans="1:8" s="161" customFormat="1" ht="15">
      <c r="A51" s="166" t="s">
        <v>118</v>
      </c>
      <c r="B51" s="178">
        <f>IF($B$12=2,Land!C23*Land!C16,IF($B$12=3,Land!D23*Land!D16,IF($B$12=4,Land!E23*Land!E16,IF($B$12=5,Land!F23*Land!F16,IF($B$12=6,Land!G23*Land!G16,Land!B23*Land!B16)))))</f>
        <v>0</v>
      </c>
      <c r="C51" s="178">
        <f>IF($B$12=2,Land!C23*Land!C16,IF($B$12=3,Land!D23*Land!D16,IF($B$12=4,Land!E23*Land!E16,IF($B$12=5,Land!F23*Land!F16,IF($B$12=6,Land!G23*Land!G16,Land!B23*Land!B16)))))</f>
        <v>0</v>
      </c>
      <c r="D51" s="178">
        <f>IF($B$12=2,Land!C23*Land!C16,IF($B$12=3,Land!D23*Land!D16,IF($B$12=4,Land!E23*Land!E16,IF($B$12=5,Land!F23*Land!F16,IF($B$12=6,Land!G23*Land!G16,Land!B23*Land!B16)))))</f>
        <v>0</v>
      </c>
      <c r="E51" s="178">
        <f>IF($B$12=2,Land!C23*Land!C16,IF($B$12=3,Land!D23*Land!D16,IF($B$12=4,Land!E23*Land!E16,IF($B$12=5,Land!F23*Land!F16,IF($B$12=6,Land!G23*Land!G16,Land!B23*Land!B16)))))</f>
        <v>0</v>
      </c>
      <c r="F51" s="180">
        <f>IF($B$12=2,Land!C23*Land!C16,IF($B$12=3,Land!D23*Land!D16,IF($B$12=4,Land!E23*Land!E16,IF($B$12=5,Land!F23*Land!F16,IF($B$12=6,Land!G23*Land!G16,Land!B23*Land!B16)))))</f>
        <v>0</v>
      </c>
      <c r="G51" s="160"/>
      <c r="H51" s="160"/>
    </row>
    <row r="52" spans="1:8" s="161" customFormat="1" ht="15">
      <c r="A52" s="166" t="str">
        <f>Land!A24</f>
        <v>Other Costs on Land/Crops #1 - total $</v>
      </c>
      <c r="B52" s="178">
        <f>IF($B$12=2,Land!C24,IF($B$12=3,Land!D24,IF($B$12=4,Land!E24,IF($B$12=5,Land!F24,IF($B$12=6,Land!G24,Land!B24)))))</f>
        <v>0</v>
      </c>
      <c r="C52" s="178">
        <f>IF($B$12=2,Land!C24,IF($B$12=3,Land!D24,IF($B$12=4,Land!E24,IF($B$12=5,Land!F24,IF($B$12=6,Land!G24,Land!B24)))))</f>
        <v>0</v>
      </c>
      <c r="D52" s="178">
        <f>IF($B$12=2,Land!C24,IF($B$12=3,Land!D24,IF($B$12=4,Land!E24,IF($B$12=5,Land!F24,IF($B$12=6,Land!G24,Land!B24)))))</f>
        <v>0</v>
      </c>
      <c r="E52" s="178">
        <f>IF($B$12=2,Land!C24,IF($B$12=3,Land!D24,IF($B$12=4,Land!E24,IF($B$12=5,Land!F24,IF($B$12=6,Land!G24,Land!B24)))))</f>
        <v>0</v>
      </c>
      <c r="F52" s="180">
        <f>IF($B$12=2,Land!C24,IF($B$12=3,Land!D24,IF($B$12=4,Land!E24,IF($B$12=5,Land!F24,IF($B$12=6,Land!G24,Land!B24)))))</f>
        <v>0</v>
      </c>
      <c r="G52" s="160"/>
      <c r="H52" s="160"/>
    </row>
    <row r="53" spans="1:8" s="161" customFormat="1" ht="15">
      <c r="A53" s="166" t="str">
        <f>Land!A25</f>
        <v>Other Costs on Land/Crops #2 - total $</v>
      </c>
      <c r="B53" s="178">
        <f>IF($B$12=2,Land!C25,IF($B$12=3,Land!D25,IF($B$12=4,Land!E25,IF($B$12=5,Land!F25,IF($B$12=6,Land!G25,Land!B25)))))</f>
        <v>0</v>
      </c>
      <c r="C53" s="178">
        <f>IF($B$12=2,Land!C25,IF($B$12=3,Land!D25,IF($B$12=4,Land!E25,IF($B$12=5,Land!F25,IF($B$12=6,Land!G25,Land!B25)))))</f>
        <v>0</v>
      </c>
      <c r="D53" s="178">
        <f>IF($B$12=2,Land!C25,IF($B$12=3,Land!D25,IF($B$12=4,Land!E25,IF($B$12=5,Land!F25,IF($B$12=6,Land!G25,Land!B25)))))</f>
        <v>0</v>
      </c>
      <c r="E53" s="178">
        <f>IF($B$12=2,Land!C25,IF($B$12=3,Land!D25,IF($B$12=4,Land!E25,IF($B$12=5,Land!F25,IF($B$12=6,Land!G25,Land!B25)))))</f>
        <v>0</v>
      </c>
      <c r="F53" s="180">
        <f>IF($B$12=2,Land!C25,IF($B$12=3,Land!D25,IF($B$12=4,Land!E25,IF($B$12=5,Land!F25,IF($B$12=6,Land!G25,Land!B25)))))</f>
        <v>0</v>
      </c>
      <c r="G53" s="160"/>
      <c r="H53" s="160"/>
    </row>
    <row r="54" spans="1:8" s="161" customFormat="1" ht="15">
      <c r="A54" s="166" t="s">
        <v>119</v>
      </c>
      <c r="B54" s="178">
        <f>IF($B$12=2,Land!C35,IF($B$12=3,Land!D35,IF($B$12=4,Land!E35,IF($B$12=5,Land!F35,IF($B$12=6,Land!G35,Land!B35)))))</f>
        <v>0</v>
      </c>
      <c r="C54" s="178">
        <f>IF($B$12=2,Land!C39,IF($B$12=3,Land!D39,IF($B$12=4,Land!E39,IF($B$12=5,Land!F39,IF($B$12=6,Land!G39,Land!B39)))))</f>
        <v>0</v>
      </c>
      <c r="D54" s="178">
        <f>IF($B$12=2,Land!C43,IF($B$12=3,Land!D43,IF($B$12=4,Land!E43,IF($B$12=5,Land!F43,IF($B$12=6,Land!G43,Land!B43)))))</f>
        <v>0</v>
      </c>
      <c r="E54" s="178">
        <f>IF($B$12=2,Land!C47,IF($B$12=3,Land!D47,IF($B$12=4,Land!E47,IF($B$12=5,Land!F47,IF($B$12=6,Land!G47,Land!B47)))))</f>
        <v>0</v>
      </c>
      <c r="F54" s="180">
        <f>IF($B$12=2,Land!C51,IF($B$12=3,Land!D51,IF($B$12=4,Land!E51,IF($B$12=5,Land!F51,IF($B$12=6,Land!G51,Land!B51)))))</f>
        <v>0</v>
      </c>
      <c r="G54" s="160"/>
      <c r="H54" s="160"/>
    </row>
    <row r="55" spans="1:8" s="161" customFormat="1" ht="15">
      <c r="A55" s="166" t="s">
        <v>113</v>
      </c>
      <c r="B55" s="178">
        <f>IF($B$12=2,Land!C36,IF($B$12=3,Land!D36,IF($B$12=4,Land!E36,IF($B$12=5,Land!F36,IF($B$12=6,Land!G36,Land!B36)))))</f>
        <v>0</v>
      </c>
      <c r="C55" s="178">
        <f>IF($B$12=2,Land!C40,IF($B$12=3,Land!D40,IF($B$12=4,Land!E40,IF($B$12=5,Land!F40,IF($B$12=6,Land!G40,Land!B40)))))</f>
        <v>0</v>
      </c>
      <c r="D55" s="178">
        <f>IF($B$12=2,Land!C44,IF($B$12=3,Land!D44,IF($B$12=4,Land!E44,IF($B$12=5,Land!F44,IF($B$12=6,Land!G44,Land!B44)))))</f>
        <v>0</v>
      </c>
      <c r="E55" s="178">
        <f>IF($B$12=2,Land!C48,IF($B$12=3,Land!D48,IF($B$12=4,Land!E48,IF($B$12=5,Land!F48,IF($B$12=6,Land!G48,Land!B48)))))</f>
        <v>0</v>
      </c>
      <c r="F55" s="180">
        <f>IF($B$12=2,Land!C52,IF($B$12=3,Land!D52,IF($B$12=4,Land!E52,IF($B$12=5,Land!F52,IF($B$12=6,Land!G52,Land!B52)))))</f>
        <v>0</v>
      </c>
      <c r="G55" s="160"/>
      <c r="H55" s="160"/>
    </row>
    <row r="56" spans="1:8" s="161" customFormat="1" ht="15">
      <c r="A56" s="166" t="s">
        <v>114</v>
      </c>
      <c r="B56" s="178">
        <f>IF($B$12=2,Land!C37,IF($B$12=3,Land!D37,IF($B$12=4,Land!E37,IF($B$12=5,Land!F37,IF($B$12=6,Land!G37,Land!B37)))))</f>
        <v>0</v>
      </c>
      <c r="C56" s="178">
        <f>IF($B$12=2,Land!C41,IF($B$12=3,Land!D41,IF($B$12=4,Land!E41,IF($B$12=5,Land!F41,IF($B$12=6,Land!G41,Land!B41)))))</f>
        <v>0</v>
      </c>
      <c r="D56" s="178">
        <f>IF($B$12=2,Land!C45,IF($B$12=3,Land!D45,IF($B$12=4,Land!E45,IF($B$12=5,Land!F45,IF($B$12=6,Land!G45,Land!B45)))))</f>
        <v>0</v>
      </c>
      <c r="E56" s="178">
        <f>IF($B$12=2,Land!C49,IF($B$12=3,Land!D49,IF($B$12=4,Land!E49,IF($B$12=5,Land!F49,IF($B$12=6,Land!G49,Land!B49)))))</f>
        <v>0</v>
      </c>
      <c r="F56" s="180">
        <f>IF($B$12=2,Land!C53,IF($B$12=3,Land!D53,IF($B$12=4,Land!E53,IF($B$12=5,Land!F53,IF($B$12=6,Land!G53,Land!B53)))))</f>
        <v>0</v>
      </c>
      <c r="G56" s="160"/>
      <c r="H56" s="160"/>
    </row>
    <row r="57" spans="1:8" s="161" customFormat="1" ht="15">
      <c r="A57" s="166" t="s">
        <v>115</v>
      </c>
      <c r="B57" s="178">
        <f>IF($B$12=2,Land!C38,IF($B$12=3,Land!D38,IF($B$12=4,Land!E38,IF($B$12=5,Land!F38,IF($B$12=6,Land!G38,Land!B38)))))</f>
        <v>0</v>
      </c>
      <c r="C57" s="178">
        <f>IF($B$12=2,Land!C42,IF($B$12=3,Land!D42,IF($B$12=4,Land!E42,IF($B$12=5,Land!F42,IF($B$12=6,Land!G42,Land!B42)))))</f>
        <v>0</v>
      </c>
      <c r="D57" s="178">
        <f>IF($B$12=2,Land!C46,IF($B$12=3,Land!D46,IF($B$12=4,Land!E46,IF($B$12=5,Land!F46,IF($B$12=6,Land!G46,Land!B46)))))</f>
        <v>0</v>
      </c>
      <c r="E57" s="178">
        <f>IF($B$12=2,Land!C50,IF($B$12=3,Land!D50,IF($B$12=4,Land!E50,IF($B$12=5,Land!F50,IF($B$12=6,Land!G50,Land!B50)))))</f>
        <v>0</v>
      </c>
      <c r="F57" s="180">
        <f>IF($B$12=2,Land!C54,IF($B$12=3,Land!D54,IF($B$12=4,Land!E54,IF($B$12=5,Land!F54,IF($B$12=6,Land!G54,Land!B54)))))</f>
        <v>0</v>
      </c>
      <c r="G57" s="160"/>
      <c r="H57" s="160"/>
    </row>
    <row r="58" spans="1:8" s="161" customFormat="1" ht="15">
      <c r="A58" s="166"/>
      <c r="B58" s="167"/>
      <c r="C58" s="167"/>
      <c r="D58" s="167"/>
      <c r="E58" s="167"/>
      <c r="F58" s="168"/>
      <c r="G58" s="160"/>
      <c r="H58" s="160"/>
    </row>
    <row r="59" spans="1:8" s="161" customFormat="1" ht="15">
      <c r="A59" s="166" t="s">
        <v>92</v>
      </c>
      <c r="B59" s="167">
        <f>Money!B5</f>
        <v>15000</v>
      </c>
      <c r="C59" s="167">
        <f>Money!C5</f>
        <v>15000</v>
      </c>
      <c r="D59" s="167">
        <f>Money!D5</f>
        <v>15000</v>
      </c>
      <c r="E59" s="167">
        <f>Money!E5</f>
        <v>15000</v>
      </c>
      <c r="F59" s="168">
        <f>Money!F5</f>
        <v>15000</v>
      </c>
      <c r="G59" s="160"/>
      <c r="H59" s="160"/>
    </row>
    <row r="60" spans="1:8" s="161" customFormat="1" ht="15">
      <c r="A60" s="166" t="s">
        <v>155</v>
      </c>
      <c r="B60" s="167">
        <f>Money!D56</f>
        <v>0</v>
      </c>
      <c r="C60" s="167">
        <f>Money!D68</f>
        <v>0</v>
      </c>
      <c r="D60" s="167">
        <f>Money!D80</f>
        <v>0</v>
      </c>
      <c r="E60" s="167">
        <f>Money!D92</f>
        <v>0</v>
      </c>
      <c r="F60" s="168">
        <f>Money!D104</f>
        <v>0</v>
      </c>
      <c r="G60" s="160"/>
      <c r="H60" s="160"/>
    </row>
    <row r="61" spans="1:8" s="161" customFormat="1" ht="15">
      <c r="A61" s="166" t="s">
        <v>156</v>
      </c>
      <c r="B61" s="167">
        <f>Money!F56</f>
        <v>0</v>
      </c>
      <c r="C61" s="167">
        <f>Money!F68</f>
        <v>0</v>
      </c>
      <c r="D61" s="167">
        <f>Money!F80</f>
        <v>0</v>
      </c>
      <c r="E61" s="167">
        <f>Money!F92</f>
        <v>0</v>
      </c>
      <c r="F61" s="168">
        <f>Money!F104</f>
        <v>0</v>
      </c>
      <c r="G61" s="160"/>
      <c r="H61" s="160"/>
    </row>
    <row r="62" spans="1:8" s="161" customFormat="1" ht="15">
      <c r="A62" s="166" t="s">
        <v>157</v>
      </c>
      <c r="B62" s="167">
        <f>Money!H23</f>
        <v>5000</v>
      </c>
      <c r="C62" s="167">
        <f>Money!H24</f>
        <v>4000</v>
      </c>
      <c r="D62" s="167">
        <f>Money!H25</f>
        <v>3000</v>
      </c>
      <c r="E62" s="167">
        <f>Money!H26</f>
        <v>2000</v>
      </c>
      <c r="F62" s="168">
        <f>Money!H27</f>
        <v>1000</v>
      </c>
      <c r="G62" s="160"/>
      <c r="H62" s="160"/>
    </row>
    <row r="63" spans="1:8" s="161" customFormat="1" ht="15.75" thickBot="1">
      <c r="A63" s="169" t="s">
        <v>158</v>
      </c>
      <c r="B63" s="181">
        <f>Money!H28</f>
        <v>400</v>
      </c>
      <c r="C63" s="181">
        <f>Money!H29</f>
        <v>320</v>
      </c>
      <c r="D63" s="181">
        <f>Money!H30</f>
        <v>240</v>
      </c>
      <c r="E63" s="181">
        <f>Money!H31</f>
        <v>160</v>
      </c>
      <c r="F63" s="182">
        <f>Money!H32</f>
        <v>80</v>
      </c>
      <c r="G63" s="160"/>
      <c r="H63" s="160"/>
    </row>
    <row r="64" spans="1:8" s="161" customFormat="1" ht="16.5" thickBot="1">
      <c r="A64" s="172" t="s">
        <v>93</v>
      </c>
      <c r="B64" s="173">
        <f>SUM(B44:B63)</f>
        <v>547776.0995670996</v>
      </c>
      <c r="C64" s="173">
        <f>SUM(C44:C63)</f>
        <v>546696.0995670996</v>
      </c>
      <c r="D64" s="173">
        <f>SUM(D44:D63)</f>
        <v>545616.0995670996</v>
      </c>
      <c r="E64" s="173">
        <f>SUM(E44:E63)</f>
        <v>544536.0995670996</v>
      </c>
      <c r="F64" s="174">
        <f>SUM(F44:F63)</f>
        <v>737206.0995670996</v>
      </c>
      <c r="G64" s="160"/>
      <c r="H64" s="160"/>
    </row>
    <row r="65" spans="1:8" s="161" customFormat="1" ht="15">
      <c r="A65" s="166"/>
      <c r="B65" s="175"/>
      <c r="C65" s="175"/>
      <c r="D65" s="175"/>
      <c r="E65" s="175"/>
      <c r="F65" s="176"/>
      <c r="G65" s="160"/>
      <c r="H65" s="160"/>
    </row>
    <row r="66" spans="1:8" s="161" customFormat="1" ht="15">
      <c r="A66" s="166" t="s">
        <v>94</v>
      </c>
      <c r="B66" s="167">
        <f>B41-B64</f>
        <v>102882.68043290044</v>
      </c>
      <c r="C66" s="167">
        <f>C41-C64</f>
        <v>112912.68043290044</v>
      </c>
      <c r="D66" s="167">
        <f>D41-D64</f>
        <v>113992.68043290044</v>
      </c>
      <c r="E66" s="167">
        <f>E41-E64</f>
        <v>110914.06843290047</v>
      </c>
      <c r="F66" s="168">
        <f>F41-F64</f>
        <v>55744.06843290047</v>
      </c>
      <c r="G66" s="160"/>
      <c r="H66" s="160"/>
    </row>
    <row r="67" spans="1:8" s="161" customFormat="1" ht="15.75" thickBot="1">
      <c r="A67" s="169" t="s">
        <v>95</v>
      </c>
      <c r="B67" s="181">
        <f>B66</f>
        <v>102882.68043290044</v>
      </c>
      <c r="C67" s="181">
        <f>C66+B67</f>
        <v>215795.36086580087</v>
      </c>
      <c r="D67" s="181">
        <f>D66+C67</f>
        <v>329788.0412987013</v>
      </c>
      <c r="E67" s="181">
        <f>E66+D67</f>
        <v>440702.1097316018</v>
      </c>
      <c r="F67" s="182">
        <f>F66+E67</f>
        <v>496446.17816450226</v>
      </c>
      <c r="G67" s="160"/>
      <c r="H67" s="160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69" spans="1:8" ht="12.75">
      <c r="A69" s="11"/>
      <c r="B69" s="11"/>
      <c r="C69" s="11"/>
      <c r="D69" s="11"/>
      <c r="E69" s="11"/>
      <c r="F69" s="11"/>
      <c r="G69" s="11"/>
      <c r="H69" s="11"/>
    </row>
    <row r="70" spans="1:8" ht="12.75">
      <c r="A70" s="11"/>
      <c r="B70" s="11"/>
      <c r="C70" s="11"/>
      <c r="D70" s="11"/>
      <c r="E70" s="11"/>
      <c r="F70" s="11"/>
      <c r="G70" s="11"/>
      <c r="H70" s="11"/>
    </row>
    <row r="71" spans="1:8" ht="12.75">
      <c r="A71" s="11"/>
      <c r="B71" s="11"/>
      <c r="C71" s="11"/>
      <c r="D71" s="11"/>
      <c r="E71" s="11"/>
      <c r="F71" s="11"/>
      <c r="G71" s="11"/>
      <c r="H71" s="11"/>
    </row>
    <row r="72" spans="1:8" ht="12.75">
      <c r="A72" s="11"/>
      <c r="B72" s="11"/>
      <c r="C72" s="11"/>
      <c r="D72" s="11"/>
      <c r="E72" s="11"/>
      <c r="F72" s="11"/>
      <c r="G72" s="11"/>
      <c r="H72" s="11"/>
    </row>
    <row r="73" spans="1:8" ht="12.75">
      <c r="A73" s="11"/>
      <c r="B73" s="11"/>
      <c r="C73" s="11"/>
      <c r="D73" s="11"/>
      <c r="E73" s="11"/>
      <c r="F73" s="11"/>
      <c r="G73" s="11"/>
      <c r="H73" s="11"/>
    </row>
    <row r="74" spans="1:8" ht="12.75">
      <c r="A74" s="11"/>
      <c r="B74" s="11"/>
      <c r="C74" s="11"/>
      <c r="D74" s="11"/>
      <c r="E74" s="11"/>
      <c r="F74" s="11"/>
      <c r="G74" s="11"/>
      <c r="H74" s="11"/>
    </row>
    <row r="75" spans="1:8" ht="12.75">
      <c r="A75" s="11"/>
      <c r="B75" s="11"/>
      <c r="C75" s="11"/>
      <c r="D75" s="11"/>
      <c r="E75" s="11"/>
      <c r="F75" s="11"/>
      <c r="G75" s="11"/>
      <c r="H75" s="11"/>
    </row>
    <row r="76" spans="1:8" ht="12.75">
      <c r="A76" s="11"/>
      <c r="B76" s="11"/>
      <c r="C76" s="11"/>
      <c r="D76" s="11"/>
      <c r="E76" s="11"/>
      <c r="F76" s="11"/>
      <c r="G76" s="11"/>
      <c r="H76" s="11"/>
    </row>
    <row r="77" spans="1:8" ht="12.75">
      <c r="A77" s="11"/>
      <c r="B77" s="11"/>
      <c r="C77" s="11"/>
      <c r="D77" s="11"/>
      <c r="E77" s="11"/>
      <c r="F77" s="11"/>
      <c r="G77" s="11"/>
      <c r="H77" s="11"/>
    </row>
    <row r="78" spans="1:8" ht="12.75">
      <c r="A78" s="11"/>
      <c r="B78" s="11"/>
      <c r="C78" s="11"/>
      <c r="D78" s="11"/>
      <c r="E78" s="11"/>
      <c r="F78" s="11"/>
      <c r="G78" s="11"/>
      <c r="H78" s="11"/>
    </row>
    <row r="79" spans="1:8" ht="12.75">
      <c r="A79" s="11"/>
      <c r="B79" s="11"/>
      <c r="C79" s="11"/>
      <c r="D79" s="11"/>
      <c r="E79" s="11"/>
      <c r="F79" s="11"/>
      <c r="G79" s="11"/>
      <c r="H79" s="11"/>
    </row>
    <row r="80" spans="1:8" ht="12.75">
      <c r="A80" s="11"/>
      <c r="B80" s="11"/>
      <c r="C80" s="11"/>
      <c r="D80" s="11"/>
      <c r="E80" s="11"/>
      <c r="F80" s="11"/>
      <c r="G80" s="11"/>
      <c r="H80" s="11"/>
    </row>
    <row r="81" spans="1:8" ht="12.75">
      <c r="A81" s="11"/>
      <c r="B81" s="11"/>
      <c r="C81" s="11"/>
      <c r="D81" s="11"/>
      <c r="E81" s="11"/>
      <c r="F81" s="11"/>
      <c r="G81" s="11"/>
      <c r="H81" s="11"/>
    </row>
    <row r="82" spans="1:8" ht="12.75">
      <c r="A82" s="11"/>
      <c r="B82" s="11"/>
      <c r="C82" s="11"/>
      <c r="D82" s="11"/>
      <c r="E82" s="11"/>
      <c r="F82" s="11"/>
      <c r="G82" s="11"/>
      <c r="H82" s="11"/>
    </row>
    <row r="83" spans="1:8" ht="12.75">
      <c r="A83" s="11"/>
      <c r="B83" s="11"/>
      <c r="C83" s="11"/>
      <c r="D83" s="11"/>
      <c r="E83" s="11"/>
      <c r="F83" s="11"/>
      <c r="G83" s="11"/>
      <c r="H83" s="11"/>
    </row>
    <row r="84" spans="1:8" ht="12.75">
      <c r="A84" s="11"/>
      <c r="B84" s="11"/>
      <c r="C84" s="11"/>
      <c r="D84" s="11"/>
      <c r="E84" s="11"/>
      <c r="F84" s="11"/>
      <c r="G84" s="11"/>
      <c r="H84" s="11"/>
    </row>
    <row r="85" spans="1:8" ht="12.75">
      <c r="A85" s="11"/>
      <c r="B85" s="11"/>
      <c r="C85" s="11"/>
      <c r="D85" s="11"/>
      <c r="E85" s="11"/>
      <c r="F85" s="11"/>
      <c r="G85" s="11"/>
      <c r="H85" s="11"/>
    </row>
    <row r="86" spans="1:8" ht="12.75">
      <c r="A86" s="11"/>
      <c r="B86" s="11"/>
      <c r="C86" s="11"/>
      <c r="D86" s="11"/>
      <c r="E86" s="11"/>
      <c r="F86" s="11"/>
      <c r="G86" s="11"/>
      <c r="H86" s="11"/>
    </row>
    <row r="87" spans="1:8" ht="12.75">
      <c r="A87" s="11"/>
      <c r="B87" s="11"/>
      <c r="C87" s="11"/>
      <c r="D87" s="11"/>
      <c r="E87" s="11"/>
      <c r="F87" s="11"/>
      <c r="G87" s="11"/>
      <c r="H87" s="11"/>
    </row>
    <row r="88" spans="1:8" ht="12.75">
      <c r="A88" s="11"/>
      <c r="B88" s="11"/>
      <c r="C88" s="11"/>
      <c r="D88" s="11"/>
      <c r="E88" s="11"/>
      <c r="F88" s="11"/>
      <c r="G88" s="11"/>
      <c r="H88" s="11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1"/>
      <c r="B90" s="11"/>
      <c r="C90" s="11"/>
      <c r="D90" s="11"/>
      <c r="E90" s="11"/>
      <c r="F90" s="11"/>
      <c r="G90" s="11"/>
      <c r="H90" s="11"/>
    </row>
    <row r="91" spans="1:8" ht="12.75">
      <c r="A91" s="11"/>
      <c r="B91" s="11"/>
      <c r="C91" s="11"/>
      <c r="D91" s="11"/>
      <c r="E91" s="11"/>
      <c r="F91" s="11"/>
      <c r="G91" s="11"/>
      <c r="H91" s="11"/>
    </row>
    <row r="92" spans="1:8" ht="12.75">
      <c r="A92" s="11"/>
      <c r="B92" s="11"/>
      <c r="C92" s="11"/>
      <c r="D92" s="11"/>
      <c r="E92" s="11"/>
      <c r="F92" s="11"/>
      <c r="G92" s="11"/>
      <c r="H92" s="11"/>
    </row>
  </sheetData>
  <sheetProtection password="86A6" sheet="1" objects="1" scenarios="1"/>
  <mergeCells count="1">
    <mergeCell ref="A4:B5"/>
  </mergeCell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Header>&amp;R&amp;D</oddHeader>
    <oddFooter>&amp;LIowa Beef Center&amp;RJMJ 8-2006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showRowColHeaders="0" workbookViewId="0" topLeftCell="A1">
      <selection activeCell="F17" sqref="F17"/>
    </sheetView>
  </sheetViews>
  <sheetFormatPr defaultColWidth="9.140625" defaultRowHeight="12.75"/>
  <cols>
    <col min="1" max="1" width="54.00390625" style="0" customWidth="1"/>
    <col min="2" max="7" width="15.28125" style="0" customWidth="1"/>
  </cols>
  <sheetData>
    <row r="1" spans="1:9" ht="15.75">
      <c r="A1" s="19"/>
      <c r="B1" s="19"/>
      <c r="C1" s="19"/>
      <c r="D1" s="19"/>
      <c r="E1" s="19"/>
      <c r="F1" s="19"/>
      <c r="G1" s="19"/>
      <c r="H1" s="18"/>
      <c r="I1" s="18"/>
    </row>
    <row r="2" spans="1:9" ht="15.75">
      <c r="A2" s="19"/>
      <c r="B2" s="19"/>
      <c r="C2" s="19"/>
      <c r="D2" s="19"/>
      <c r="E2" s="19"/>
      <c r="F2" s="19"/>
      <c r="G2" s="19"/>
      <c r="H2" s="18"/>
      <c r="I2" s="18"/>
    </row>
    <row r="3" spans="1:9" ht="16.5" thickBot="1">
      <c r="A3" s="19"/>
      <c r="B3" s="19"/>
      <c r="C3" s="94"/>
      <c r="D3" s="94"/>
      <c r="E3" s="94"/>
      <c r="F3" s="19"/>
      <c r="G3" s="19"/>
      <c r="H3" s="18"/>
      <c r="I3" s="18"/>
    </row>
    <row r="4" spans="1:9" s="16" customFormat="1" ht="15.75">
      <c r="A4" s="17"/>
      <c r="B4" s="95"/>
      <c r="C4" s="95"/>
      <c r="D4" s="95" t="s">
        <v>7</v>
      </c>
      <c r="E4" s="95" t="s">
        <v>15</v>
      </c>
      <c r="F4" s="95" t="s">
        <v>15</v>
      </c>
      <c r="G4" s="95" t="s">
        <v>15</v>
      </c>
      <c r="H4" s="23"/>
      <c r="I4" s="23"/>
    </row>
    <row r="5" spans="1:9" s="16" customFormat="1" ht="16.5" thickBot="1">
      <c r="A5" s="19" t="s">
        <v>60</v>
      </c>
      <c r="B5" s="96" t="s">
        <v>17</v>
      </c>
      <c r="C5" s="96" t="s">
        <v>7</v>
      </c>
      <c r="D5" s="96" t="s">
        <v>19</v>
      </c>
      <c r="E5" s="96" t="s">
        <v>20</v>
      </c>
      <c r="F5" s="96" t="s">
        <v>18</v>
      </c>
      <c r="G5" s="96" t="s">
        <v>19</v>
      </c>
      <c r="H5" s="23"/>
      <c r="I5" s="23"/>
    </row>
    <row r="6" spans="1:9" ht="16.5" customHeight="1" thickBot="1">
      <c r="A6" s="47" t="s">
        <v>9</v>
      </c>
      <c r="B6" s="97"/>
      <c r="C6" s="97"/>
      <c r="D6" s="97"/>
      <c r="E6" s="97"/>
      <c r="F6" s="97"/>
      <c r="G6" s="97"/>
      <c r="H6" s="18"/>
      <c r="I6" s="18"/>
    </row>
    <row r="7" spans="1:9" ht="16.5" customHeight="1">
      <c r="A7" s="57" t="s">
        <v>24</v>
      </c>
      <c r="B7" s="61">
        <v>0.88</v>
      </c>
      <c r="C7" s="74">
        <v>0.98</v>
      </c>
      <c r="D7" s="61">
        <v>1.35</v>
      </c>
      <c r="E7" s="74">
        <v>1.2</v>
      </c>
      <c r="F7" s="61">
        <v>1.2</v>
      </c>
      <c r="G7" s="85">
        <v>1.42</v>
      </c>
      <c r="H7" s="18"/>
      <c r="I7" s="18"/>
    </row>
    <row r="8" spans="1:9" ht="16.5" customHeight="1">
      <c r="A8" s="58" t="s">
        <v>103</v>
      </c>
      <c r="B8" s="62">
        <v>0.79</v>
      </c>
      <c r="C8" s="75">
        <v>0.84</v>
      </c>
      <c r="D8" s="62">
        <v>1.35</v>
      </c>
      <c r="E8" s="75">
        <v>1.1</v>
      </c>
      <c r="F8" s="62">
        <v>1.15</v>
      </c>
      <c r="G8" s="86">
        <v>1.4</v>
      </c>
      <c r="H8" s="18"/>
      <c r="I8" s="18"/>
    </row>
    <row r="9" spans="1:9" ht="16.5" customHeight="1">
      <c r="A9" s="58" t="s">
        <v>54</v>
      </c>
      <c r="B9" s="63">
        <v>1000</v>
      </c>
      <c r="C9" s="76">
        <v>1000</v>
      </c>
      <c r="D9" s="63">
        <v>400</v>
      </c>
      <c r="E9" s="76">
        <v>1000</v>
      </c>
      <c r="F9" s="63">
        <v>500</v>
      </c>
      <c r="G9" s="7">
        <v>400</v>
      </c>
      <c r="H9" s="18"/>
      <c r="I9" s="18"/>
    </row>
    <row r="10" spans="1:9" ht="16.5" customHeight="1" thickBot="1">
      <c r="A10" s="58" t="s">
        <v>104</v>
      </c>
      <c r="B10" s="64">
        <v>1400</v>
      </c>
      <c r="C10" s="77">
        <v>1200</v>
      </c>
      <c r="D10" s="64">
        <v>1000</v>
      </c>
      <c r="E10" s="77">
        <v>1200</v>
      </c>
      <c r="F10" s="64">
        <v>1250</v>
      </c>
      <c r="G10" s="87">
        <v>1000</v>
      </c>
      <c r="H10" s="18"/>
      <c r="I10" s="18"/>
    </row>
    <row r="11" spans="1:9" ht="16.5" customHeight="1">
      <c r="A11" s="57" t="s">
        <v>55</v>
      </c>
      <c r="B11" s="61">
        <v>1.3</v>
      </c>
      <c r="C11" s="74">
        <v>1.3</v>
      </c>
      <c r="D11" s="61">
        <v>1.5</v>
      </c>
      <c r="E11" s="74">
        <v>1.5</v>
      </c>
      <c r="F11" s="61">
        <v>1.5</v>
      </c>
      <c r="G11" s="85">
        <v>1.5</v>
      </c>
      <c r="H11" s="18"/>
      <c r="I11" s="18"/>
    </row>
    <row r="12" spans="1:9" ht="16.5" customHeight="1">
      <c r="A12" s="58" t="s">
        <v>102</v>
      </c>
      <c r="B12" s="62">
        <v>1.05</v>
      </c>
      <c r="C12" s="75">
        <v>1</v>
      </c>
      <c r="D12" s="62">
        <v>1.1</v>
      </c>
      <c r="E12" s="75">
        <v>1.1</v>
      </c>
      <c r="F12" s="62">
        <v>1.1</v>
      </c>
      <c r="G12" s="86">
        <v>1.1</v>
      </c>
      <c r="H12" s="18"/>
      <c r="I12" s="18"/>
    </row>
    <row r="13" spans="1:9" ht="16.5" customHeight="1">
      <c r="A13" s="58" t="s">
        <v>56</v>
      </c>
      <c r="B13" s="63"/>
      <c r="C13" s="76"/>
      <c r="D13" s="63"/>
      <c r="E13" s="76"/>
      <c r="F13" s="63"/>
      <c r="G13" s="7"/>
      <c r="H13" s="18"/>
      <c r="I13" s="18"/>
    </row>
    <row r="14" spans="1:9" ht="16.5" customHeight="1" thickBot="1">
      <c r="A14" s="59" t="s">
        <v>57</v>
      </c>
      <c r="B14" s="65">
        <v>550</v>
      </c>
      <c r="C14" s="78">
        <v>500</v>
      </c>
      <c r="D14" s="65">
        <v>400</v>
      </c>
      <c r="E14" s="78">
        <v>500</v>
      </c>
      <c r="F14" s="65">
        <v>500</v>
      </c>
      <c r="G14" s="8">
        <v>400</v>
      </c>
      <c r="H14" s="18"/>
      <c r="I14" s="18"/>
    </row>
    <row r="15" spans="1:9" ht="16.5" customHeight="1">
      <c r="A15" s="60" t="s">
        <v>58</v>
      </c>
      <c r="B15" s="66"/>
      <c r="C15" s="79"/>
      <c r="D15" s="66"/>
      <c r="E15" s="79"/>
      <c r="F15" s="66">
        <v>5888</v>
      </c>
      <c r="G15" s="88"/>
      <c r="H15" s="18"/>
      <c r="I15" s="18"/>
    </row>
    <row r="16" spans="1:9" ht="16.5" customHeight="1" thickBot="1">
      <c r="A16" s="114" t="s">
        <v>59</v>
      </c>
      <c r="B16" s="67"/>
      <c r="C16" s="80"/>
      <c r="D16" s="67"/>
      <c r="E16" s="80"/>
      <c r="F16" s="67"/>
      <c r="G16" s="89"/>
      <c r="H16" s="18"/>
      <c r="I16" s="18"/>
    </row>
    <row r="17" spans="1:9" ht="16.5" customHeight="1">
      <c r="A17" s="110" t="s">
        <v>98</v>
      </c>
      <c r="B17" s="111"/>
      <c r="C17" s="112"/>
      <c r="D17" s="111"/>
      <c r="E17" s="112"/>
      <c r="F17" s="111"/>
      <c r="G17" s="113"/>
      <c r="H17" s="18"/>
      <c r="I17" s="18"/>
    </row>
    <row r="18" spans="1:9" ht="16.5" customHeight="1" thickBot="1">
      <c r="A18" s="49" t="s">
        <v>99</v>
      </c>
      <c r="B18" s="67"/>
      <c r="C18" s="80"/>
      <c r="D18" s="67"/>
      <c r="E18" s="80"/>
      <c r="F18" s="67"/>
      <c r="G18" s="89"/>
      <c r="H18" s="18"/>
      <c r="I18" s="18"/>
    </row>
    <row r="19" spans="1:9" ht="16.5" customHeight="1" thickBot="1">
      <c r="A19" s="10" t="s">
        <v>25</v>
      </c>
      <c r="B19" s="68"/>
      <c r="C19" s="14"/>
      <c r="D19" s="68"/>
      <c r="E19" s="14"/>
      <c r="F19" s="68"/>
      <c r="G19" s="50"/>
      <c r="H19" s="18"/>
      <c r="I19" s="18"/>
    </row>
    <row r="20" spans="1:9" ht="16.5" customHeight="1">
      <c r="A20" s="57" t="s">
        <v>105</v>
      </c>
      <c r="B20" s="69">
        <v>79687</v>
      </c>
      <c r="C20" s="81">
        <v>70312</v>
      </c>
      <c r="D20" s="69">
        <v>0</v>
      </c>
      <c r="E20" s="81">
        <v>70312</v>
      </c>
      <c r="F20" s="69">
        <v>17578</v>
      </c>
      <c r="G20" s="90">
        <v>0</v>
      </c>
      <c r="H20" s="18"/>
      <c r="I20" s="18"/>
    </row>
    <row r="21" spans="1:9" ht="16.5" customHeight="1">
      <c r="A21" s="58" t="s">
        <v>106</v>
      </c>
      <c r="B21" s="63">
        <v>595</v>
      </c>
      <c r="C21" s="76">
        <v>525</v>
      </c>
      <c r="D21" s="63">
        <v>355</v>
      </c>
      <c r="E21" s="76">
        <v>525</v>
      </c>
      <c r="F21" s="63">
        <v>222</v>
      </c>
      <c r="G21" s="7">
        <v>355</v>
      </c>
      <c r="H21" s="18"/>
      <c r="I21" s="18"/>
    </row>
    <row r="22" spans="1:9" ht="16.5" customHeight="1" thickBot="1">
      <c r="A22" s="59" t="s">
        <v>173</v>
      </c>
      <c r="B22" s="65">
        <v>0</v>
      </c>
      <c r="C22" s="78">
        <v>0</v>
      </c>
      <c r="D22" s="65">
        <v>5112</v>
      </c>
      <c r="E22" s="78">
        <v>0</v>
      </c>
      <c r="F22" s="65">
        <v>3195</v>
      </c>
      <c r="G22" s="8">
        <v>5112</v>
      </c>
      <c r="H22" s="18"/>
      <c r="I22" s="18"/>
    </row>
    <row r="23" spans="1:9" ht="16.5" customHeight="1" thickBot="1">
      <c r="A23" s="10" t="s">
        <v>26</v>
      </c>
      <c r="B23" s="68"/>
      <c r="C23" s="14"/>
      <c r="D23" s="68"/>
      <c r="E23" s="14"/>
      <c r="F23" s="68"/>
      <c r="G23" s="50"/>
      <c r="H23" s="18"/>
      <c r="I23" s="18"/>
    </row>
    <row r="24" spans="1:9" ht="16.5" customHeight="1">
      <c r="A24" s="57" t="s">
        <v>107</v>
      </c>
      <c r="B24" s="69">
        <v>200</v>
      </c>
      <c r="C24" s="81">
        <v>200</v>
      </c>
      <c r="D24" s="69">
        <v>0</v>
      </c>
      <c r="E24" s="81">
        <v>0</v>
      </c>
      <c r="F24" s="69">
        <v>0</v>
      </c>
      <c r="G24" s="90">
        <v>0</v>
      </c>
      <c r="H24" s="18"/>
      <c r="I24" s="18"/>
    </row>
    <row r="25" spans="1:9" ht="16.5" customHeight="1">
      <c r="A25" s="58" t="s">
        <v>106</v>
      </c>
      <c r="B25" s="63">
        <v>300</v>
      </c>
      <c r="C25" s="76">
        <v>300</v>
      </c>
      <c r="D25" s="63">
        <v>600</v>
      </c>
      <c r="E25" s="76">
        <v>600</v>
      </c>
      <c r="F25" s="63">
        <v>600</v>
      </c>
      <c r="G25" s="7">
        <v>600</v>
      </c>
      <c r="H25" s="18"/>
      <c r="I25" s="18"/>
    </row>
    <row r="26" spans="1:9" ht="16.5" customHeight="1" thickBot="1">
      <c r="A26" s="59" t="s">
        <v>173</v>
      </c>
      <c r="B26" s="65">
        <v>2867</v>
      </c>
      <c r="C26" s="65">
        <v>2867</v>
      </c>
      <c r="D26" s="65">
        <v>2867</v>
      </c>
      <c r="E26" s="65">
        <v>2867</v>
      </c>
      <c r="F26" s="65">
        <v>2867</v>
      </c>
      <c r="G26" s="65">
        <v>2867</v>
      </c>
      <c r="H26" s="18"/>
      <c r="I26" s="18"/>
    </row>
    <row r="27" spans="1:9" ht="16.5" customHeight="1" thickBot="1">
      <c r="A27" s="10" t="s">
        <v>8</v>
      </c>
      <c r="B27" s="70"/>
      <c r="C27" s="51"/>
      <c r="D27" s="70"/>
      <c r="E27" s="51"/>
      <c r="F27" s="70"/>
      <c r="G27" s="52"/>
      <c r="H27" s="18"/>
      <c r="I27" s="18"/>
    </row>
    <row r="28" spans="1:9" ht="16.5" customHeight="1">
      <c r="A28" s="57" t="s">
        <v>4</v>
      </c>
      <c r="B28" s="71">
        <v>0.02</v>
      </c>
      <c r="C28" s="82">
        <v>0.02</v>
      </c>
      <c r="D28" s="71">
        <v>0.02</v>
      </c>
      <c r="E28" s="82">
        <v>0.02</v>
      </c>
      <c r="F28" s="71">
        <v>0.02</v>
      </c>
      <c r="G28" s="91">
        <v>0.02</v>
      </c>
      <c r="H28" s="18"/>
      <c r="I28" s="18"/>
    </row>
    <row r="29" spans="1:9" ht="16.5" customHeight="1">
      <c r="A29" s="58" t="s">
        <v>5</v>
      </c>
      <c r="B29" s="72">
        <v>0.07</v>
      </c>
      <c r="C29" s="83">
        <v>0.07</v>
      </c>
      <c r="D29" s="72">
        <v>0.07</v>
      </c>
      <c r="E29" s="83">
        <v>0.07</v>
      </c>
      <c r="F29" s="72">
        <v>0.07</v>
      </c>
      <c r="G29" s="92">
        <v>0.07</v>
      </c>
      <c r="H29" s="18"/>
      <c r="I29" s="18"/>
    </row>
    <row r="30" spans="1:9" ht="16.5" customHeight="1">
      <c r="A30" s="58" t="s">
        <v>3</v>
      </c>
      <c r="B30" s="72">
        <v>0.4</v>
      </c>
      <c r="C30" s="83">
        <v>0.4</v>
      </c>
      <c r="D30" s="72">
        <v>0.4</v>
      </c>
      <c r="E30" s="83">
        <v>0.4</v>
      </c>
      <c r="F30" s="72">
        <v>0.4</v>
      </c>
      <c r="G30" s="92">
        <v>0.4</v>
      </c>
      <c r="H30" s="18"/>
      <c r="I30" s="18"/>
    </row>
    <row r="31" spans="1:9" ht="16.5" customHeight="1" thickBot="1">
      <c r="A31" s="59" t="s">
        <v>6</v>
      </c>
      <c r="B31" s="73">
        <v>1</v>
      </c>
      <c r="C31" s="84">
        <v>1</v>
      </c>
      <c r="D31" s="73">
        <v>0.05</v>
      </c>
      <c r="E31" s="84">
        <v>0.5</v>
      </c>
      <c r="F31" s="73">
        <v>0.05</v>
      </c>
      <c r="G31" s="93">
        <v>0.05</v>
      </c>
      <c r="H31" s="18"/>
      <c r="I31" s="18"/>
    </row>
    <row r="32" spans="1:9" ht="21" customHeight="1">
      <c r="A32" s="44" t="s">
        <v>49</v>
      </c>
      <c r="H32" s="18"/>
      <c r="I32" s="18"/>
    </row>
    <row r="33" spans="1:9" ht="12.75">
      <c r="A33" s="44" t="s">
        <v>108</v>
      </c>
      <c r="H33" s="18"/>
      <c r="I33" s="18"/>
    </row>
    <row r="34" spans="1:9" ht="12.75">
      <c r="A34" s="45"/>
      <c r="B34" s="45"/>
      <c r="C34" s="45"/>
      <c r="D34" s="45"/>
      <c r="E34" s="45"/>
      <c r="F34" s="45"/>
      <c r="G34" s="45"/>
      <c r="H34" s="45"/>
      <c r="I34" s="45"/>
    </row>
    <row r="35" spans="1:9" s="56" customFormat="1" ht="12.75">
      <c r="A35" s="45" t="s">
        <v>62</v>
      </c>
      <c r="B35" s="46">
        <f aca="true" t="shared" si="0" ref="B35:D36">B7</f>
        <v>0.88</v>
      </c>
      <c r="C35" s="46">
        <f t="shared" si="0"/>
        <v>0.98</v>
      </c>
      <c r="D35" s="46">
        <f t="shared" si="0"/>
        <v>1.35</v>
      </c>
      <c r="E35" s="45">
        <f>IF(OutPut!F13&lt;5,Cattle!C7,Cattle!E7)</f>
        <v>0.98</v>
      </c>
      <c r="F35" s="45">
        <f>IF(OutPut!F13&lt;5,C7,F7)</f>
        <v>0.98</v>
      </c>
      <c r="G35" s="45">
        <f>IF(OutPut!F13&lt;5,D7,G7)</f>
        <v>1.35</v>
      </c>
      <c r="H35" s="45"/>
      <c r="I35" s="45"/>
    </row>
    <row r="36" spans="1:9" s="56" customFormat="1" ht="12.75">
      <c r="A36" s="45" t="s">
        <v>61</v>
      </c>
      <c r="B36" s="46">
        <f t="shared" si="0"/>
        <v>0.79</v>
      </c>
      <c r="C36" s="46">
        <f t="shared" si="0"/>
        <v>0.84</v>
      </c>
      <c r="D36" s="46">
        <f t="shared" si="0"/>
        <v>1.35</v>
      </c>
      <c r="E36" s="45">
        <f>IF(OutPut!F13&lt;5,C8,E8)</f>
        <v>0.84</v>
      </c>
      <c r="F36" s="45">
        <f>IF(OutPut!F13&lt;5,C8,F8)</f>
        <v>0.84</v>
      </c>
      <c r="G36" s="45">
        <f>IF(OutPut!F13&lt;5,D8,G8)</f>
        <v>1.35</v>
      </c>
      <c r="H36" s="45"/>
      <c r="I36" s="45"/>
    </row>
    <row r="37" spans="1:9" s="56" customFormat="1" ht="12.75">
      <c r="A37" s="45" t="s">
        <v>63</v>
      </c>
      <c r="B37" s="46">
        <f aca="true" t="shared" si="1" ref="B37:D38">B11</f>
        <v>1.3</v>
      </c>
      <c r="C37" s="46">
        <f t="shared" si="1"/>
        <v>1.3</v>
      </c>
      <c r="D37" s="46">
        <f t="shared" si="1"/>
        <v>1.5</v>
      </c>
      <c r="E37" s="45">
        <f>IF(OutPut!F13&lt;4,C11,E11)</f>
        <v>1.3</v>
      </c>
      <c r="F37" s="45">
        <f>IF(OutPut!F13&lt;4,C11,F11)</f>
        <v>1.3</v>
      </c>
      <c r="G37" s="45">
        <f>IF(OutPut!F13&lt;4,D11,G11)</f>
        <v>1.5</v>
      </c>
      <c r="H37" s="45"/>
      <c r="I37" s="45"/>
    </row>
    <row r="38" spans="1:9" s="98" customFormat="1" ht="12.75">
      <c r="A38" s="45" t="s">
        <v>61</v>
      </c>
      <c r="B38" s="46">
        <f t="shared" si="1"/>
        <v>1.05</v>
      </c>
      <c r="C38" s="46">
        <f t="shared" si="1"/>
        <v>1</v>
      </c>
      <c r="D38" s="46">
        <f t="shared" si="1"/>
        <v>1.1</v>
      </c>
      <c r="E38" s="46">
        <f>IF(OutPut!F13&lt;4,C12,E12)</f>
        <v>1</v>
      </c>
      <c r="F38" s="128">
        <f>IF(OutPut!F13&lt;4,C12,F12)</f>
        <v>1</v>
      </c>
      <c r="G38" s="128">
        <f>IF(OutPut!F13&lt;4,D12,E12)</f>
        <v>1.1</v>
      </c>
      <c r="H38" s="128"/>
      <c r="I38" s="128"/>
    </row>
    <row r="39" spans="1:9" s="99" customFormat="1" ht="12.75">
      <c r="A39" s="128" t="s">
        <v>64</v>
      </c>
      <c r="B39" s="129">
        <f>(B35)*B9*B10</f>
        <v>1232000</v>
      </c>
      <c r="C39" s="129">
        <f>(C35)*C9*C10</f>
        <v>1176000</v>
      </c>
      <c r="D39" s="129">
        <f>(D35)*D9*D10</f>
        <v>540000</v>
      </c>
      <c r="E39" s="129">
        <f>(E35)*E$9*E$10</f>
        <v>1176000</v>
      </c>
      <c r="F39" s="129">
        <f>(F35)*F$9*F$10</f>
        <v>612500</v>
      </c>
      <c r="G39" s="129">
        <f>G35*G$9*G$10</f>
        <v>540000</v>
      </c>
      <c r="H39" s="128"/>
      <c r="I39" s="128"/>
    </row>
    <row r="40" spans="1:9" s="99" customFormat="1" ht="12.75">
      <c r="A40" s="128" t="s">
        <v>65</v>
      </c>
      <c r="B40" s="129">
        <f>(B37)*B13*B14</f>
        <v>0</v>
      </c>
      <c r="C40" s="129">
        <f>(C37)*C13*C14</f>
        <v>0</v>
      </c>
      <c r="D40" s="129">
        <f>(D37)*D13*D14</f>
        <v>0</v>
      </c>
      <c r="E40" s="129">
        <f>(E37)*E$13*E$14</f>
        <v>0</v>
      </c>
      <c r="F40" s="129">
        <f>(F37)*F$13*F$14</f>
        <v>0</v>
      </c>
      <c r="G40" s="129">
        <f>(G37)*G$13*G$14</f>
        <v>0</v>
      </c>
      <c r="H40" s="128"/>
      <c r="I40" s="128"/>
    </row>
    <row r="41" spans="1:9" s="99" customFormat="1" ht="12.75">
      <c r="A41" s="128" t="str">
        <f aca="true" t="shared" si="2" ref="A41:G42">A15</f>
        <v>Other Receits from Livestock #1 - total $</v>
      </c>
      <c r="B41" s="129">
        <f t="shared" si="2"/>
        <v>0</v>
      </c>
      <c r="C41" s="129">
        <f t="shared" si="2"/>
        <v>0</v>
      </c>
      <c r="D41" s="129">
        <f t="shared" si="2"/>
        <v>0</v>
      </c>
      <c r="E41" s="129">
        <f t="shared" si="2"/>
        <v>0</v>
      </c>
      <c r="F41" s="129">
        <f t="shared" si="2"/>
        <v>5888</v>
      </c>
      <c r="G41" s="129">
        <f t="shared" si="2"/>
        <v>0</v>
      </c>
      <c r="H41" s="128"/>
      <c r="I41" s="128"/>
    </row>
    <row r="42" spans="1:9" s="99" customFormat="1" ht="12.75">
      <c r="A42" s="128" t="str">
        <f t="shared" si="2"/>
        <v>Other Receits from Livestock #2 - total $</v>
      </c>
      <c r="B42" s="129">
        <f t="shared" si="2"/>
        <v>0</v>
      </c>
      <c r="C42" s="129">
        <f t="shared" si="2"/>
        <v>0</v>
      </c>
      <c r="D42" s="129">
        <f t="shared" si="2"/>
        <v>0</v>
      </c>
      <c r="E42" s="129">
        <f t="shared" si="2"/>
        <v>0</v>
      </c>
      <c r="F42" s="129">
        <f t="shared" si="2"/>
        <v>0</v>
      </c>
      <c r="G42" s="129">
        <f t="shared" si="2"/>
        <v>0</v>
      </c>
      <c r="H42" s="128"/>
      <c r="I42" s="128"/>
    </row>
    <row r="43" spans="1:9" s="99" customFormat="1" ht="12.75">
      <c r="A43" s="128" t="str">
        <f aca="true" t="shared" si="3" ref="A43:G43">A18</f>
        <v>Other Costs from Livestock #2 - total $</v>
      </c>
      <c r="B43" s="129">
        <f t="shared" si="3"/>
        <v>0</v>
      </c>
      <c r="C43" s="129">
        <f t="shared" si="3"/>
        <v>0</v>
      </c>
      <c r="D43" s="129">
        <f t="shared" si="3"/>
        <v>0</v>
      </c>
      <c r="E43" s="129">
        <f t="shared" si="3"/>
        <v>0</v>
      </c>
      <c r="F43" s="129">
        <f t="shared" si="3"/>
        <v>0</v>
      </c>
      <c r="G43" s="129">
        <f t="shared" si="3"/>
        <v>0</v>
      </c>
      <c r="H43" s="128"/>
      <c r="I43" s="128"/>
    </row>
    <row r="44" spans="1:9" ht="12.75">
      <c r="A44" s="45"/>
      <c r="B44" s="45"/>
      <c r="C44" s="45"/>
      <c r="D44" s="45"/>
      <c r="E44" s="45"/>
      <c r="F44" s="45"/>
      <c r="G44" s="45"/>
      <c r="H44" s="45"/>
      <c r="I44" s="45"/>
    </row>
    <row r="45" spans="1:9" ht="12.75">
      <c r="A45" s="45"/>
      <c r="B45" s="45"/>
      <c r="C45" s="45"/>
      <c r="D45" s="45"/>
      <c r="E45" s="45">
        <f>IF(OutPut!$F13+1&lt;5,Cattle!C7,Cattle!E7)</f>
        <v>0.98</v>
      </c>
      <c r="F45" s="45">
        <f>IF(OutPut!$F13+1&lt;5,Cattle!C7,Cattle!F7)</f>
        <v>0.98</v>
      </c>
      <c r="G45" s="45">
        <f>IF(OutPut!$F13+1&lt;5,Cattle!D7,Cattle!G7)</f>
        <v>1.35</v>
      </c>
      <c r="H45" s="45"/>
      <c r="I45" s="45"/>
    </row>
    <row r="46" spans="1:9" ht="12.75">
      <c r="A46" s="45"/>
      <c r="B46" s="45"/>
      <c r="C46" s="45"/>
      <c r="D46" s="45"/>
      <c r="E46" s="45">
        <f>IF(OutPut!$F13+1&lt;5,C8,E8)</f>
        <v>0.84</v>
      </c>
      <c r="F46" s="45">
        <f>IF(OutPut!$F13+1&lt;5,C8,F8)</f>
        <v>0.84</v>
      </c>
      <c r="G46" s="45">
        <f>IF(OutPut!$F13+1&lt;5,D8,G8)</f>
        <v>1.35</v>
      </c>
      <c r="H46" s="45"/>
      <c r="I46" s="45"/>
    </row>
    <row r="47" spans="1:9" ht="12.75">
      <c r="A47" s="45"/>
      <c r="B47" s="45"/>
      <c r="C47" s="45"/>
      <c r="D47" s="45"/>
      <c r="E47" s="45">
        <f>IF(OutPut!$F13+1&lt;4,C11,E11)</f>
        <v>1.3</v>
      </c>
      <c r="F47" s="45">
        <f>IF(OutPut!$F13+1&lt;4,C11,F11)</f>
        <v>1.3</v>
      </c>
      <c r="G47" s="45">
        <f>IF(OutPut!$F13+1&lt;4,D11,G11)</f>
        <v>1.5</v>
      </c>
      <c r="H47" s="45"/>
      <c r="I47" s="45"/>
    </row>
    <row r="48" spans="1:9" ht="12.75">
      <c r="A48" s="45"/>
      <c r="B48" s="45"/>
      <c r="C48" s="45"/>
      <c r="D48" s="45"/>
      <c r="E48" s="46">
        <f>IF(OutPut!$F13+1&lt;4,C12,E12)</f>
        <v>1</v>
      </c>
      <c r="F48" s="46">
        <f>IF(OutPut!$F13+1&lt;4,C12,F12)</f>
        <v>1</v>
      </c>
      <c r="G48" s="46">
        <f>IF(OutPut!$F13+1&lt;4,D12,G12)</f>
        <v>1.1</v>
      </c>
      <c r="H48" s="45"/>
      <c r="I48" s="45"/>
    </row>
    <row r="49" spans="1:9" ht="12.75">
      <c r="A49" s="45"/>
      <c r="B49" s="45"/>
      <c r="C49" s="45"/>
      <c r="D49" s="45"/>
      <c r="E49" s="129">
        <f>(E45)*E$9*E$10</f>
        <v>1176000</v>
      </c>
      <c r="F49" s="129">
        <f>(F45)*F$9*F$10</f>
        <v>612500</v>
      </c>
      <c r="G49" s="129">
        <f>(G45)*G$9*G$10</f>
        <v>540000</v>
      </c>
      <c r="H49" s="45"/>
      <c r="I49" s="45"/>
    </row>
    <row r="50" spans="1:9" ht="12.75">
      <c r="A50" s="45"/>
      <c r="B50" s="45"/>
      <c r="C50" s="45"/>
      <c r="D50" s="45"/>
      <c r="E50" s="129">
        <f>(E47)*E$13*E$14</f>
        <v>0</v>
      </c>
      <c r="F50" s="129">
        <f>(F47)*F$13*F$14</f>
        <v>0</v>
      </c>
      <c r="G50" s="129">
        <f>(G47)*G$13*G$14</f>
        <v>0</v>
      </c>
      <c r="H50" s="45"/>
      <c r="I50" s="45"/>
    </row>
    <row r="51" spans="1:9" ht="12.75">
      <c r="A51" s="45"/>
      <c r="B51" s="45"/>
      <c r="C51" s="45"/>
      <c r="D51" s="45"/>
      <c r="E51" s="45">
        <f>IF(OutPut!$F$13+2&lt;5,Cattle!C$7,Cattle!E$7)</f>
        <v>0.98</v>
      </c>
      <c r="F51" s="45">
        <f>IF(OutPut!$F$13+2&lt;5,Cattle!C$7,Cattle!F$7)</f>
        <v>0.98</v>
      </c>
      <c r="G51" s="45">
        <f>IF(OutPut!$F$13+2&lt;5,Cattle!D$7,Cattle!G$7)</f>
        <v>1.35</v>
      </c>
      <c r="H51" s="45"/>
      <c r="I51" s="45"/>
    </row>
    <row r="52" spans="1:9" ht="12.75">
      <c r="A52" s="45"/>
      <c r="B52" s="45"/>
      <c r="C52" s="45"/>
      <c r="D52" s="45"/>
      <c r="E52" s="45">
        <f>IF(OutPut!$F$13+2&lt;5,C$8,E$8)</f>
        <v>0.84</v>
      </c>
      <c r="F52" s="45">
        <f>IF(OutPut!$F$13+2&lt;5,C$8,F$8)</f>
        <v>0.84</v>
      </c>
      <c r="G52" s="45">
        <f>IF(OutPut!$F$13+2&lt;5,D$8,G$8)</f>
        <v>1.35</v>
      </c>
      <c r="H52" s="45"/>
      <c r="I52" s="45"/>
    </row>
    <row r="53" spans="1:9" ht="12.75">
      <c r="A53" s="45"/>
      <c r="B53" s="45"/>
      <c r="C53" s="45"/>
      <c r="D53" s="45"/>
      <c r="E53" s="45">
        <f>IF(OutPut!$F$13+2&lt;4,C$11,E$11)</f>
        <v>1.3</v>
      </c>
      <c r="F53" s="45">
        <f>IF(OutPut!$F$13+2&lt;4,C$11,F$11)</f>
        <v>1.3</v>
      </c>
      <c r="G53" s="45">
        <f>IF(OutPut!$F$13+2&lt;4,D$11,G$11)</f>
        <v>1.5</v>
      </c>
      <c r="H53" s="45"/>
      <c r="I53" s="45"/>
    </row>
    <row r="54" spans="1:9" ht="12.75">
      <c r="A54" s="45"/>
      <c r="B54" s="45"/>
      <c r="C54" s="45"/>
      <c r="D54" s="45"/>
      <c r="E54" s="46">
        <f>IF(OutPut!$F$13+2&lt;4,C$12,E$12)</f>
        <v>1</v>
      </c>
      <c r="F54" s="46">
        <f>IF(OutPut!$F$13+2&lt;4,C$12,F$12)</f>
        <v>1</v>
      </c>
      <c r="G54" s="46">
        <f>IF(OutPut!$F$13+2&lt;4,D$12,G$12)</f>
        <v>1.1</v>
      </c>
      <c r="H54" s="45"/>
      <c r="I54" s="45"/>
    </row>
    <row r="55" spans="1:9" ht="12.75">
      <c r="A55" s="45"/>
      <c r="B55" s="45"/>
      <c r="C55" s="45"/>
      <c r="D55" s="45"/>
      <c r="E55" s="129">
        <f>(E51)*E$9*E$10</f>
        <v>1176000</v>
      </c>
      <c r="F55" s="129">
        <f>(F51)*F$9*F$10</f>
        <v>612500</v>
      </c>
      <c r="G55" s="129">
        <f>(G51)*G$9*G$10</f>
        <v>540000</v>
      </c>
      <c r="H55" s="45"/>
      <c r="I55" s="45"/>
    </row>
    <row r="56" spans="1:9" ht="12.75">
      <c r="A56" s="45"/>
      <c r="B56" s="45"/>
      <c r="C56" s="45"/>
      <c r="D56" s="45"/>
      <c r="E56" s="129">
        <f>(E53)*E$13*E$14</f>
        <v>0</v>
      </c>
      <c r="F56" s="129">
        <f>(F53)*F$13*F$14</f>
        <v>0</v>
      </c>
      <c r="G56" s="129">
        <f>(G53)*G$13*G$14</f>
        <v>0</v>
      </c>
      <c r="H56" s="45"/>
      <c r="I56" s="45"/>
    </row>
    <row r="57" spans="1:9" ht="12.75">
      <c r="A57" s="45"/>
      <c r="B57" s="45"/>
      <c r="C57" s="45"/>
      <c r="D57" s="45"/>
      <c r="E57" s="45">
        <f>IF(OutPut!$F$13+3&lt;5,Cattle!C$7,Cattle!E$7)</f>
        <v>0.98</v>
      </c>
      <c r="F57" s="45">
        <f>IF(OutPut!$F$13+3&lt;5,Cattle!C$7,Cattle!F$7)</f>
        <v>0.98</v>
      </c>
      <c r="G57" s="45">
        <f>IF(OutPut!$F$13+3&lt;5,Cattle!D$7,Cattle!G$7)</f>
        <v>1.35</v>
      </c>
      <c r="H57" s="45"/>
      <c r="I57" s="45"/>
    </row>
    <row r="58" spans="1:9" ht="12.75">
      <c r="A58" s="45"/>
      <c r="B58" s="45"/>
      <c r="C58" s="45"/>
      <c r="D58" s="45"/>
      <c r="E58" s="45">
        <f>IF(OutPut!$F$13+3&lt;5,C$8,E$8)</f>
        <v>0.84</v>
      </c>
      <c r="F58" s="45">
        <f>IF(OutPut!$F$13+3&lt;5,C$8,F$8)</f>
        <v>0.84</v>
      </c>
      <c r="G58" s="45">
        <f>IF(OutPut!$F$13+3&lt;5,D$8,G$8)</f>
        <v>1.35</v>
      </c>
      <c r="H58" s="45"/>
      <c r="I58" s="45"/>
    </row>
    <row r="59" spans="1:9" ht="12.75">
      <c r="A59" s="45"/>
      <c r="B59" s="45"/>
      <c r="C59" s="45"/>
      <c r="D59" s="45"/>
      <c r="E59" s="45">
        <f>IF(OutPut!$F$13+3&lt;4,C$11,E$11)</f>
        <v>1.5</v>
      </c>
      <c r="F59" s="45">
        <f>IF(OutPut!$F$13+3&lt;4,C$11,F$11)</f>
        <v>1.5</v>
      </c>
      <c r="G59" s="45">
        <f>IF(OutPut!$F$13+3&lt;4,D$11,G$11)</f>
        <v>1.5</v>
      </c>
      <c r="H59" s="45"/>
      <c r="I59" s="45"/>
    </row>
    <row r="60" spans="1:9" ht="12.75">
      <c r="A60" s="45"/>
      <c r="B60" s="45"/>
      <c r="C60" s="45"/>
      <c r="D60" s="45"/>
      <c r="E60" s="46">
        <f>IF(OutPut!$F$13+3&lt;4,C$12,E$12)</f>
        <v>1.1</v>
      </c>
      <c r="F60" s="46">
        <f>IF(OutPut!$F$13+3&lt;4,C$12,F$12)</f>
        <v>1.1</v>
      </c>
      <c r="G60" s="46">
        <f>IF(OutPut!$F$13+3&lt;4,D$12,G$12)</f>
        <v>1.1</v>
      </c>
      <c r="H60" s="45"/>
      <c r="I60" s="45"/>
    </row>
    <row r="61" spans="1:9" ht="12.75">
      <c r="A61" s="45"/>
      <c r="B61" s="45"/>
      <c r="C61" s="45"/>
      <c r="D61" s="45"/>
      <c r="E61" s="129">
        <f>(E57)*E$9*E$10</f>
        <v>1176000</v>
      </c>
      <c r="F61" s="129">
        <f>(F57)*F$9*F$10</f>
        <v>612500</v>
      </c>
      <c r="G61" s="129">
        <f>(G57)*G$9*G$10</f>
        <v>540000</v>
      </c>
      <c r="H61" s="45"/>
      <c r="I61" s="45"/>
    </row>
    <row r="62" spans="1:9" ht="12.75">
      <c r="A62" s="45"/>
      <c r="B62" s="45"/>
      <c r="C62" s="45"/>
      <c r="D62" s="45"/>
      <c r="E62" s="129">
        <f>(E59)*E$13*E$14</f>
        <v>0</v>
      </c>
      <c r="F62" s="129">
        <f>(F59)*F$13*F$14</f>
        <v>0</v>
      </c>
      <c r="G62" s="129">
        <f>(G59)*G$13*G$14</f>
        <v>0</v>
      </c>
      <c r="H62" s="45"/>
      <c r="I62" s="45"/>
    </row>
    <row r="63" spans="1:9" ht="12.75">
      <c r="A63" s="45"/>
      <c r="B63" s="45"/>
      <c r="C63" s="45"/>
      <c r="D63" s="45"/>
      <c r="E63" s="45">
        <f>IF(OutPut!$F$13+4&lt;5,Cattle!C$7,Cattle!E$7)</f>
        <v>1.2</v>
      </c>
      <c r="F63" s="45">
        <f>IF(OutPut!$F$13+4&lt;5,Cattle!C$7,Cattle!F$7)</f>
        <v>1.2</v>
      </c>
      <c r="G63" s="45">
        <f>IF(OutPut!$F$13+4&lt;5,Cattle!D$7,Cattle!G$7)</f>
        <v>1.42</v>
      </c>
      <c r="H63" s="45"/>
      <c r="I63" s="45"/>
    </row>
    <row r="64" spans="1:9" ht="12.75">
      <c r="A64" s="45"/>
      <c r="B64" s="45"/>
      <c r="C64" s="45"/>
      <c r="D64" s="45"/>
      <c r="E64" s="45">
        <f>IF(OutPut!$F$13+4&lt;5,C$8,E$8)</f>
        <v>1.1</v>
      </c>
      <c r="F64" s="45">
        <f>IF(OutPut!$F$13+4&lt;5,C$8,F$8)</f>
        <v>1.15</v>
      </c>
      <c r="G64" s="45">
        <f>IF(OutPut!$F$13+4&lt;5,D$8,G$8)</f>
        <v>1.4</v>
      </c>
      <c r="H64" s="45"/>
      <c r="I64" s="45"/>
    </row>
    <row r="65" spans="1:9" ht="12.75">
      <c r="A65" s="45"/>
      <c r="B65" s="45"/>
      <c r="C65" s="45"/>
      <c r="D65" s="45"/>
      <c r="E65" s="45">
        <f>IF(OutPut!$F$13+3&lt;4,C$11,E$11)</f>
        <v>1.5</v>
      </c>
      <c r="F65" s="45">
        <f>IF(OutPut!$F$13+3&lt;4,C$11,F$11)</f>
        <v>1.5</v>
      </c>
      <c r="G65" s="45">
        <f>IF(OutPut!$F$13+3&lt;4,D$11,G$11)</f>
        <v>1.5</v>
      </c>
      <c r="H65" s="45"/>
      <c r="I65" s="45"/>
    </row>
    <row r="66" spans="1:9" ht="12.75">
      <c r="A66" s="45"/>
      <c r="B66" s="45"/>
      <c r="C66" s="45"/>
      <c r="D66" s="45"/>
      <c r="E66" s="46">
        <f>IF(OutPut!$F$13+3&lt;4,C$12,E$12)</f>
        <v>1.1</v>
      </c>
      <c r="F66" s="46">
        <f>IF(OutPut!$F$13+3&lt;4,C$12,F$12)</f>
        <v>1.1</v>
      </c>
      <c r="G66" s="46">
        <f>IF(OutPut!$F$13+3&lt;4,D$12,G$12)</f>
        <v>1.1</v>
      </c>
      <c r="H66" s="45"/>
      <c r="I66" s="45"/>
    </row>
    <row r="67" spans="1:9" ht="12.75">
      <c r="A67" s="45"/>
      <c r="B67" s="45"/>
      <c r="C67" s="45"/>
      <c r="D67" s="45"/>
      <c r="E67" s="129">
        <f>(E63)*E$9*E$10</f>
        <v>1440000</v>
      </c>
      <c r="F67" s="129">
        <f>(F63)*F$9*F$10</f>
        <v>750000</v>
      </c>
      <c r="G67" s="129">
        <f>(G63)*G$9*G$10</f>
        <v>568000</v>
      </c>
      <c r="H67" s="45"/>
      <c r="I67" s="45"/>
    </row>
    <row r="68" spans="1:9" ht="12.75">
      <c r="A68" s="45"/>
      <c r="B68" s="45"/>
      <c r="C68" s="45"/>
      <c r="D68" s="45"/>
      <c r="E68" s="129">
        <f>(E65)*E$13*E$14</f>
        <v>0</v>
      </c>
      <c r="F68" s="129">
        <f>(F65)*F$13*F$14</f>
        <v>0</v>
      </c>
      <c r="G68" s="129">
        <f>(G65)*G$13*G$14</f>
        <v>0</v>
      </c>
      <c r="H68" s="45"/>
      <c r="I68" s="45"/>
    </row>
    <row r="69" spans="1:9" ht="12.75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12.75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2.75">
      <c r="A71" s="45"/>
      <c r="B71" s="45"/>
      <c r="C71" s="45"/>
      <c r="D71" s="45"/>
      <c r="E71" s="45"/>
      <c r="F71" s="45"/>
      <c r="G71" s="45"/>
      <c r="H71" s="45"/>
      <c r="I71" s="45"/>
    </row>
    <row r="72" spans="1:9" ht="12.75">
      <c r="A72" s="45"/>
      <c r="B72" s="45"/>
      <c r="C72" s="45"/>
      <c r="D72" s="45"/>
      <c r="E72" s="45"/>
      <c r="F72" s="45"/>
      <c r="G72" s="45"/>
      <c r="H72" s="45"/>
      <c r="I72" s="45"/>
    </row>
    <row r="73" spans="1:9" ht="12.75">
      <c r="A73" s="45"/>
      <c r="B73" s="45"/>
      <c r="C73" s="45"/>
      <c r="D73" s="45"/>
      <c r="E73" s="45"/>
      <c r="F73" s="45"/>
      <c r="G73" s="45"/>
      <c r="H73" s="45"/>
      <c r="I73" s="45"/>
    </row>
    <row r="74" spans="1:9" ht="12.75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2.75">
      <c r="A75" s="45"/>
      <c r="B75" s="45"/>
      <c r="C75" s="45"/>
      <c r="D75" s="45"/>
      <c r="E75" s="45"/>
      <c r="F75" s="45"/>
      <c r="G75" s="45"/>
      <c r="H75" s="45"/>
      <c r="I75" s="45"/>
    </row>
    <row r="76" ht="13.5" thickBot="1"/>
    <row r="77" spans="1:7" ht="15.75">
      <c r="A77" s="264"/>
      <c r="B77" s="265"/>
      <c r="C77" s="265"/>
      <c r="D77" s="265" t="s">
        <v>7</v>
      </c>
      <c r="E77" s="265" t="s">
        <v>15</v>
      </c>
      <c r="F77" s="265" t="s">
        <v>15</v>
      </c>
      <c r="G77" s="265" t="s">
        <v>15</v>
      </c>
    </row>
    <row r="78" spans="1:7" ht="16.5" thickBot="1">
      <c r="A78" s="266" t="s">
        <v>60</v>
      </c>
      <c r="B78" s="267" t="s">
        <v>17</v>
      </c>
      <c r="C78" s="267" t="s">
        <v>7</v>
      </c>
      <c r="D78" s="267" t="s">
        <v>19</v>
      </c>
      <c r="E78" s="267" t="s">
        <v>20</v>
      </c>
      <c r="F78" s="267" t="s">
        <v>18</v>
      </c>
      <c r="G78" s="267" t="s">
        <v>19</v>
      </c>
    </row>
    <row r="79" spans="1:7" ht="13.5" thickBot="1">
      <c r="A79" s="268" t="s">
        <v>9</v>
      </c>
      <c r="B79" s="269"/>
      <c r="C79" s="269"/>
      <c r="D79" s="269"/>
      <c r="E79" s="269"/>
      <c r="F79" s="269"/>
      <c r="G79" s="269"/>
    </row>
    <row r="80" spans="1:7" ht="13.5" thickBot="1">
      <c r="A80" s="270" t="s">
        <v>24</v>
      </c>
      <c r="B80" s="271">
        <f aca="true" t="shared" si="4" ref="B80:G89">B7</f>
        <v>0.88</v>
      </c>
      <c r="C80" s="271">
        <f t="shared" si="4"/>
        <v>0.98</v>
      </c>
      <c r="D80" s="271">
        <f t="shared" si="4"/>
        <v>1.35</v>
      </c>
      <c r="E80" s="271">
        <f t="shared" si="4"/>
        <v>1.2</v>
      </c>
      <c r="F80" s="271">
        <f t="shared" si="4"/>
        <v>1.2</v>
      </c>
      <c r="G80" s="271">
        <f t="shared" si="4"/>
        <v>1.42</v>
      </c>
    </row>
    <row r="81" spans="1:7" ht="13.5" thickBot="1">
      <c r="A81" s="272" t="s">
        <v>164</v>
      </c>
      <c r="B81" s="271">
        <f t="shared" si="4"/>
        <v>0.79</v>
      </c>
      <c r="C81" s="271">
        <f t="shared" si="4"/>
        <v>0.84</v>
      </c>
      <c r="D81" s="271">
        <f t="shared" si="4"/>
        <v>1.35</v>
      </c>
      <c r="E81" s="271">
        <f t="shared" si="4"/>
        <v>1.1</v>
      </c>
      <c r="F81" s="271">
        <f t="shared" si="4"/>
        <v>1.15</v>
      </c>
      <c r="G81" s="271">
        <f t="shared" si="4"/>
        <v>1.4</v>
      </c>
    </row>
    <row r="82" spans="1:7" ht="13.5" thickBot="1">
      <c r="A82" s="272" t="s">
        <v>54</v>
      </c>
      <c r="B82" s="271">
        <f t="shared" si="4"/>
        <v>1000</v>
      </c>
      <c r="C82" s="271">
        <f t="shared" si="4"/>
        <v>1000</v>
      </c>
      <c r="D82" s="271">
        <f t="shared" si="4"/>
        <v>400</v>
      </c>
      <c r="E82" s="271">
        <f t="shared" si="4"/>
        <v>1000</v>
      </c>
      <c r="F82" s="271">
        <f t="shared" si="4"/>
        <v>500</v>
      </c>
      <c r="G82" s="271">
        <f t="shared" si="4"/>
        <v>400</v>
      </c>
    </row>
    <row r="83" spans="1:7" ht="13.5" thickBot="1">
      <c r="A83" s="272" t="s">
        <v>165</v>
      </c>
      <c r="B83" s="271">
        <f t="shared" si="4"/>
        <v>1400</v>
      </c>
      <c r="C83" s="271">
        <f t="shared" si="4"/>
        <v>1200</v>
      </c>
      <c r="D83" s="271">
        <f t="shared" si="4"/>
        <v>1000</v>
      </c>
      <c r="E83" s="271">
        <f t="shared" si="4"/>
        <v>1200</v>
      </c>
      <c r="F83" s="271">
        <f t="shared" si="4"/>
        <v>1250</v>
      </c>
      <c r="G83" s="271">
        <f t="shared" si="4"/>
        <v>1000</v>
      </c>
    </row>
    <row r="84" spans="1:7" ht="13.5" thickBot="1">
      <c r="A84" s="270" t="s">
        <v>55</v>
      </c>
      <c r="B84" s="271">
        <f t="shared" si="4"/>
        <v>1.3</v>
      </c>
      <c r="C84" s="271">
        <f t="shared" si="4"/>
        <v>1.3</v>
      </c>
      <c r="D84" s="271">
        <f t="shared" si="4"/>
        <v>1.5</v>
      </c>
      <c r="E84" s="271">
        <f t="shared" si="4"/>
        <v>1.5</v>
      </c>
      <c r="F84" s="271">
        <f t="shared" si="4"/>
        <v>1.5</v>
      </c>
      <c r="G84" s="271">
        <f t="shared" si="4"/>
        <v>1.5</v>
      </c>
    </row>
    <row r="85" spans="1:7" ht="13.5" thickBot="1">
      <c r="A85" s="272" t="s">
        <v>166</v>
      </c>
      <c r="B85" s="271">
        <f t="shared" si="4"/>
        <v>1.05</v>
      </c>
      <c r="C85" s="271">
        <f t="shared" si="4"/>
        <v>1</v>
      </c>
      <c r="D85" s="271">
        <f t="shared" si="4"/>
        <v>1.1</v>
      </c>
      <c r="E85" s="271">
        <f t="shared" si="4"/>
        <v>1.1</v>
      </c>
      <c r="F85" s="271">
        <f t="shared" si="4"/>
        <v>1.1</v>
      </c>
      <c r="G85" s="271">
        <f t="shared" si="4"/>
        <v>1.1</v>
      </c>
    </row>
    <row r="86" spans="1:7" ht="13.5" thickBot="1">
      <c r="A86" s="272" t="s">
        <v>56</v>
      </c>
      <c r="B86" s="271">
        <f t="shared" si="4"/>
        <v>0</v>
      </c>
      <c r="C86" s="271">
        <f t="shared" si="4"/>
        <v>0</v>
      </c>
      <c r="D86" s="271">
        <f t="shared" si="4"/>
        <v>0</v>
      </c>
      <c r="E86" s="271">
        <f t="shared" si="4"/>
        <v>0</v>
      </c>
      <c r="F86" s="271">
        <f t="shared" si="4"/>
        <v>0</v>
      </c>
      <c r="G86" s="271">
        <f t="shared" si="4"/>
        <v>0</v>
      </c>
    </row>
    <row r="87" spans="1:7" ht="13.5" thickBot="1">
      <c r="A87" s="273" t="s">
        <v>57</v>
      </c>
      <c r="B87" s="271">
        <f t="shared" si="4"/>
        <v>550</v>
      </c>
      <c r="C87" s="271">
        <f t="shared" si="4"/>
        <v>500</v>
      </c>
      <c r="D87" s="271">
        <f t="shared" si="4"/>
        <v>400</v>
      </c>
      <c r="E87" s="271">
        <f t="shared" si="4"/>
        <v>500</v>
      </c>
      <c r="F87" s="271">
        <f t="shared" si="4"/>
        <v>500</v>
      </c>
      <c r="G87" s="271">
        <f t="shared" si="4"/>
        <v>400</v>
      </c>
    </row>
    <row r="88" spans="1:7" ht="13.5" thickBot="1">
      <c r="A88" s="271" t="str">
        <f>A15</f>
        <v>Other Receits from Livestock #1 - total $</v>
      </c>
      <c r="B88" s="271">
        <f t="shared" si="4"/>
        <v>0</v>
      </c>
      <c r="C88" s="271">
        <f t="shared" si="4"/>
        <v>0</v>
      </c>
      <c r="D88" s="271">
        <f t="shared" si="4"/>
        <v>0</v>
      </c>
      <c r="E88" s="271">
        <f t="shared" si="4"/>
        <v>0</v>
      </c>
      <c r="F88" s="271">
        <f t="shared" si="4"/>
        <v>5888</v>
      </c>
      <c r="G88" s="271">
        <f t="shared" si="4"/>
        <v>0</v>
      </c>
    </row>
    <row r="89" spans="1:7" ht="13.5" thickBot="1">
      <c r="A89" s="271" t="str">
        <f>A16</f>
        <v>Other Receits from Livestock #2 - total $</v>
      </c>
      <c r="B89" s="271">
        <f t="shared" si="4"/>
        <v>0</v>
      </c>
      <c r="C89" s="271">
        <f t="shared" si="4"/>
        <v>0</v>
      </c>
      <c r="D89" s="271">
        <f t="shared" si="4"/>
        <v>0</v>
      </c>
      <c r="E89" s="271">
        <f t="shared" si="4"/>
        <v>0</v>
      </c>
      <c r="F89" s="271">
        <f t="shared" si="4"/>
        <v>0</v>
      </c>
      <c r="G89" s="271">
        <f t="shared" si="4"/>
        <v>0</v>
      </c>
    </row>
    <row r="90" spans="1:7" ht="13.5" thickBot="1">
      <c r="A90" s="271" t="str">
        <f>A17</f>
        <v>Other Costs from Livestock #1 - total $</v>
      </c>
      <c r="B90" s="271">
        <f aca="true" t="shared" si="5" ref="B90:G99">B17</f>
        <v>0</v>
      </c>
      <c r="C90" s="271">
        <f t="shared" si="5"/>
        <v>0</v>
      </c>
      <c r="D90" s="271">
        <f t="shared" si="5"/>
        <v>0</v>
      </c>
      <c r="E90" s="271">
        <f t="shared" si="5"/>
        <v>0</v>
      </c>
      <c r="F90" s="271">
        <f t="shared" si="5"/>
        <v>0</v>
      </c>
      <c r="G90" s="271">
        <f t="shared" si="5"/>
        <v>0</v>
      </c>
    </row>
    <row r="91" spans="1:7" ht="13.5" thickBot="1">
      <c r="A91" s="271" t="str">
        <f>A18</f>
        <v>Other Costs from Livestock #2 - total $</v>
      </c>
      <c r="B91" s="271">
        <f t="shared" si="5"/>
        <v>0</v>
      </c>
      <c r="C91" s="271">
        <f t="shared" si="5"/>
        <v>0</v>
      </c>
      <c r="D91" s="271">
        <f t="shared" si="5"/>
        <v>0</v>
      </c>
      <c r="E91" s="271">
        <f t="shared" si="5"/>
        <v>0</v>
      </c>
      <c r="F91" s="271">
        <f t="shared" si="5"/>
        <v>0</v>
      </c>
      <c r="G91" s="271">
        <f t="shared" si="5"/>
        <v>0</v>
      </c>
    </row>
    <row r="92" spans="1:7" ht="13.5" thickBot="1">
      <c r="A92" s="274" t="s">
        <v>25</v>
      </c>
      <c r="B92" s="271">
        <f t="shared" si="5"/>
        <v>0</v>
      </c>
      <c r="C92" s="271">
        <f t="shared" si="5"/>
        <v>0</v>
      </c>
      <c r="D92" s="271">
        <f t="shared" si="5"/>
        <v>0</v>
      </c>
      <c r="E92" s="271">
        <f t="shared" si="5"/>
        <v>0</v>
      </c>
      <c r="F92" s="271">
        <f t="shared" si="5"/>
        <v>0</v>
      </c>
      <c r="G92" s="271">
        <f t="shared" si="5"/>
        <v>0</v>
      </c>
    </row>
    <row r="93" spans="1:7" ht="13.5" thickBot="1">
      <c r="A93" s="270" t="s">
        <v>167</v>
      </c>
      <c r="B93" s="271">
        <f t="shared" si="5"/>
        <v>79687</v>
      </c>
      <c r="C93" s="271">
        <f t="shared" si="5"/>
        <v>70312</v>
      </c>
      <c r="D93" s="271">
        <f t="shared" si="5"/>
        <v>0</v>
      </c>
      <c r="E93" s="271">
        <f t="shared" si="5"/>
        <v>70312</v>
      </c>
      <c r="F93" s="271">
        <f t="shared" si="5"/>
        <v>17578</v>
      </c>
      <c r="G93" s="271">
        <f t="shared" si="5"/>
        <v>0</v>
      </c>
    </row>
    <row r="94" spans="1:7" ht="13.5" thickBot="1">
      <c r="A94" s="272" t="s">
        <v>168</v>
      </c>
      <c r="B94" s="271">
        <f t="shared" si="5"/>
        <v>595</v>
      </c>
      <c r="C94" s="271">
        <f t="shared" si="5"/>
        <v>525</v>
      </c>
      <c r="D94" s="271">
        <f t="shared" si="5"/>
        <v>355</v>
      </c>
      <c r="E94" s="271">
        <f t="shared" si="5"/>
        <v>525</v>
      </c>
      <c r="F94" s="271">
        <f t="shared" si="5"/>
        <v>222</v>
      </c>
      <c r="G94" s="271">
        <f t="shared" si="5"/>
        <v>355</v>
      </c>
    </row>
    <row r="95" spans="1:7" ht="13.5" thickBot="1">
      <c r="A95" s="273" t="s">
        <v>169</v>
      </c>
      <c r="B95" s="271">
        <f t="shared" si="5"/>
        <v>0</v>
      </c>
      <c r="C95" s="271">
        <f t="shared" si="5"/>
        <v>0</v>
      </c>
      <c r="D95" s="271">
        <f t="shared" si="5"/>
        <v>5112</v>
      </c>
      <c r="E95" s="271">
        <f t="shared" si="5"/>
        <v>0</v>
      </c>
      <c r="F95" s="271">
        <f t="shared" si="5"/>
        <v>3195</v>
      </c>
      <c r="G95" s="271">
        <f t="shared" si="5"/>
        <v>5112</v>
      </c>
    </row>
    <row r="96" spans="1:7" ht="13.5" thickBot="1">
      <c r="A96" s="274" t="s">
        <v>26</v>
      </c>
      <c r="B96" s="271">
        <f t="shared" si="5"/>
        <v>0</v>
      </c>
      <c r="C96" s="271">
        <f t="shared" si="5"/>
        <v>0</v>
      </c>
      <c r="D96" s="271">
        <f t="shared" si="5"/>
        <v>0</v>
      </c>
      <c r="E96" s="271">
        <f t="shared" si="5"/>
        <v>0</v>
      </c>
      <c r="F96" s="271">
        <f t="shared" si="5"/>
        <v>0</v>
      </c>
      <c r="G96" s="271">
        <f t="shared" si="5"/>
        <v>0</v>
      </c>
    </row>
    <row r="97" spans="1:7" ht="13.5" thickBot="1">
      <c r="A97" s="270" t="s">
        <v>170</v>
      </c>
      <c r="B97" s="271">
        <f t="shared" si="5"/>
        <v>200</v>
      </c>
      <c r="C97" s="271">
        <f t="shared" si="5"/>
        <v>200</v>
      </c>
      <c r="D97" s="271">
        <f t="shared" si="5"/>
        <v>0</v>
      </c>
      <c r="E97" s="271">
        <f t="shared" si="5"/>
        <v>0</v>
      </c>
      <c r="F97" s="271">
        <f t="shared" si="5"/>
        <v>0</v>
      </c>
      <c r="G97" s="271">
        <f t="shared" si="5"/>
        <v>0</v>
      </c>
    </row>
    <row r="98" spans="1:7" ht="13.5" thickBot="1">
      <c r="A98" s="272" t="s">
        <v>168</v>
      </c>
      <c r="B98" s="271">
        <f t="shared" si="5"/>
        <v>300</v>
      </c>
      <c r="C98" s="271">
        <f t="shared" si="5"/>
        <v>300</v>
      </c>
      <c r="D98" s="271">
        <f t="shared" si="5"/>
        <v>600</v>
      </c>
      <c r="E98" s="271">
        <f t="shared" si="5"/>
        <v>600</v>
      </c>
      <c r="F98" s="271">
        <f t="shared" si="5"/>
        <v>600</v>
      </c>
      <c r="G98" s="271">
        <f t="shared" si="5"/>
        <v>600</v>
      </c>
    </row>
    <row r="99" spans="1:7" ht="13.5" thickBot="1">
      <c r="A99" s="273" t="s">
        <v>169</v>
      </c>
      <c r="B99" s="271">
        <f t="shared" si="5"/>
        <v>2867</v>
      </c>
      <c r="C99" s="271">
        <f t="shared" si="5"/>
        <v>2867</v>
      </c>
      <c r="D99" s="271">
        <f t="shared" si="5"/>
        <v>2867</v>
      </c>
      <c r="E99" s="271">
        <f t="shared" si="5"/>
        <v>2867</v>
      </c>
      <c r="F99" s="271">
        <f t="shared" si="5"/>
        <v>2867</v>
      </c>
      <c r="G99" s="271">
        <f t="shared" si="5"/>
        <v>2867</v>
      </c>
    </row>
    <row r="100" spans="1:7" ht="13.5" thickBot="1">
      <c r="A100" s="274" t="s">
        <v>8</v>
      </c>
      <c r="B100" s="271">
        <f>B27</f>
        <v>0</v>
      </c>
      <c r="C100" s="271">
        <f>C27</f>
        <v>0</v>
      </c>
      <c r="D100" s="271">
        <f>D27</f>
        <v>0</v>
      </c>
      <c r="E100" s="271">
        <f>E27</f>
        <v>0</v>
      </c>
      <c r="F100" s="271">
        <f>F27</f>
        <v>0</v>
      </c>
      <c r="G100" s="271">
        <f>G27</f>
        <v>0</v>
      </c>
    </row>
    <row r="101" spans="1:7" ht="13.5" thickBot="1">
      <c r="A101" s="270" t="s">
        <v>4</v>
      </c>
      <c r="B101" s="271">
        <f>B28</f>
        <v>0.02</v>
      </c>
      <c r="C101" s="271">
        <f>C28</f>
        <v>0.02</v>
      </c>
      <c r="D101" s="271">
        <f>D28</f>
        <v>0.02</v>
      </c>
      <c r="E101" s="271">
        <f>E28</f>
        <v>0.02</v>
      </c>
      <c r="F101" s="271">
        <f>F28</f>
        <v>0.02</v>
      </c>
      <c r="G101" s="271">
        <f>G28</f>
        <v>0.02</v>
      </c>
    </row>
    <row r="102" spans="1:7" ht="13.5" thickBot="1">
      <c r="A102" s="272" t="s">
        <v>5</v>
      </c>
      <c r="B102" s="271">
        <f>B29</f>
        <v>0.07</v>
      </c>
      <c r="C102" s="271">
        <f>C29</f>
        <v>0.07</v>
      </c>
      <c r="D102" s="271">
        <f>D29</f>
        <v>0.07</v>
      </c>
      <c r="E102" s="271">
        <f>E29</f>
        <v>0.07</v>
      </c>
      <c r="F102" s="271">
        <f>F29</f>
        <v>0.07</v>
      </c>
      <c r="G102" s="271">
        <f>G29</f>
        <v>0.07</v>
      </c>
    </row>
    <row r="103" spans="1:7" ht="13.5" thickBot="1">
      <c r="A103" s="272" t="s">
        <v>3</v>
      </c>
      <c r="B103" s="271">
        <f aca="true" t="shared" si="6" ref="B103:G103">B30</f>
        <v>0.4</v>
      </c>
      <c r="C103" s="271">
        <f t="shared" si="6"/>
        <v>0.4</v>
      </c>
      <c r="D103" s="271">
        <f t="shared" si="6"/>
        <v>0.4</v>
      </c>
      <c r="E103" s="271">
        <f t="shared" si="6"/>
        <v>0.4</v>
      </c>
      <c r="F103" s="271">
        <f t="shared" si="6"/>
        <v>0.4</v>
      </c>
      <c r="G103" s="271">
        <f t="shared" si="6"/>
        <v>0.4</v>
      </c>
    </row>
    <row r="104" spans="1:7" ht="13.5" thickBot="1">
      <c r="A104" s="273" t="s">
        <v>6</v>
      </c>
      <c r="B104" s="271">
        <f aca="true" t="shared" si="7" ref="B104:G104">B31</f>
        <v>1</v>
      </c>
      <c r="C104" s="271">
        <f t="shared" si="7"/>
        <v>1</v>
      </c>
      <c r="D104" s="271">
        <f t="shared" si="7"/>
        <v>0.05</v>
      </c>
      <c r="E104" s="271">
        <f t="shared" si="7"/>
        <v>0.5</v>
      </c>
      <c r="F104" s="271">
        <f t="shared" si="7"/>
        <v>0.05</v>
      </c>
      <c r="G104" s="271">
        <f t="shared" si="7"/>
        <v>0.05</v>
      </c>
    </row>
  </sheetData>
  <sheetProtection password="86A6" sheet="1" objects="1" scenarios="1"/>
  <printOptions horizontalCentered="1" verticalCentered="1"/>
  <pageMargins left="0.75" right="0.75" top="1" bottom="1" header="0.5" footer="0.5"/>
  <pageSetup fitToHeight="1" fitToWidth="1" orientation="landscape" scale="83" r:id="rId2"/>
  <headerFooter alignWithMargins="0">
    <oddHeader>&amp;R&amp;D</oddHeader>
    <oddFooter>&amp;LIowa Beef Center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5"/>
  <sheetViews>
    <sheetView showGridLines="0" showRowColHeaders="0" workbookViewId="0" topLeftCell="A1">
      <selection activeCell="B56" sqref="B56:G56"/>
    </sheetView>
  </sheetViews>
  <sheetFormatPr defaultColWidth="9.140625" defaultRowHeight="12.75"/>
  <cols>
    <col min="1" max="1" width="54.00390625" style="0" customWidth="1"/>
    <col min="2" max="7" width="15.28125" style="0" customWidth="1"/>
  </cols>
  <sheetData>
    <row r="1" spans="1:12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6" customFormat="1" ht="15">
      <c r="A2" s="17"/>
      <c r="B2" s="17"/>
      <c r="C2" s="17"/>
      <c r="D2" s="17"/>
      <c r="E2" s="17"/>
      <c r="F2" s="17"/>
      <c r="G2" s="17"/>
      <c r="H2" s="23"/>
      <c r="I2" s="23"/>
      <c r="J2" s="23"/>
      <c r="K2" s="23"/>
      <c r="L2" s="23"/>
    </row>
    <row r="3" spans="1:12" s="16" customFormat="1" ht="15.75" thickBot="1">
      <c r="A3" s="17"/>
      <c r="B3" s="17"/>
      <c r="C3" s="17"/>
      <c r="D3" s="17"/>
      <c r="E3" s="17"/>
      <c r="F3" s="17"/>
      <c r="G3" s="17"/>
      <c r="H3" s="23"/>
      <c r="I3" s="23"/>
      <c r="J3" s="23"/>
      <c r="K3" s="23"/>
      <c r="L3" s="23"/>
    </row>
    <row r="4" spans="1:12" s="16" customFormat="1" ht="15.75">
      <c r="A4" s="17"/>
      <c r="B4" s="95"/>
      <c r="C4" s="95"/>
      <c r="D4" s="95" t="s">
        <v>7</v>
      </c>
      <c r="E4" s="95" t="s">
        <v>15</v>
      </c>
      <c r="F4" s="95" t="s">
        <v>15</v>
      </c>
      <c r="G4" s="95" t="s">
        <v>15</v>
      </c>
      <c r="H4" s="23"/>
      <c r="I4" s="23"/>
      <c r="J4" s="23"/>
      <c r="K4" s="23"/>
      <c r="L4" s="23"/>
    </row>
    <row r="5" spans="1:12" s="16" customFormat="1" ht="16.5" customHeight="1" thickBot="1">
      <c r="A5" s="10" t="s">
        <v>14</v>
      </c>
      <c r="B5" s="96" t="s">
        <v>17</v>
      </c>
      <c r="C5" s="96" t="s">
        <v>7</v>
      </c>
      <c r="D5" s="96" t="s">
        <v>19</v>
      </c>
      <c r="E5" s="96" t="s">
        <v>20</v>
      </c>
      <c r="F5" s="96" t="s">
        <v>18</v>
      </c>
      <c r="G5" s="96" t="s">
        <v>19</v>
      </c>
      <c r="H5" s="23"/>
      <c r="I5" s="23"/>
      <c r="J5" s="23"/>
      <c r="K5" s="23"/>
      <c r="L5" s="23"/>
    </row>
    <row r="6" spans="1:12" ht="15" customHeight="1">
      <c r="A6" s="57" t="s">
        <v>0</v>
      </c>
      <c r="B6" s="212">
        <v>500</v>
      </c>
      <c r="C6" s="212">
        <v>500</v>
      </c>
      <c r="D6" s="212">
        <v>100</v>
      </c>
      <c r="E6" s="212">
        <v>1000</v>
      </c>
      <c r="F6" s="212">
        <v>100</v>
      </c>
      <c r="G6" s="213">
        <v>100</v>
      </c>
      <c r="H6" s="18"/>
      <c r="I6" s="18"/>
      <c r="J6" s="18"/>
      <c r="K6" s="18"/>
      <c r="L6" s="18"/>
    </row>
    <row r="7" spans="1:12" ht="15" customHeight="1">
      <c r="A7" s="58" t="s">
        <v>176</v>
      </c>
      <c r="B7" s="205">
        <f>B90</f>
        <v>452.693</v>
      </c>
      <c r="C7" s="205">
        <f>C90</f>
        <v>399.56800000000004</v>
      </c>
      <c r="D7" s="205">
        <f>D90</f>
        <v>0</v>
      </c>
      <c r="E7" s="205">
        <f>E90</f>
        <v>569.1923809523811</v>
      </c>
      <c r="F7" s="205">
        <f>F90</f>
        <v>142.29809523809527</v>
      </c>
      <c r="G7" s="205">
        <f>G90</f>
        <v>0</v>
      </c>
      <c r="H7" s="18"/>
      <c r="I7" s="18"/>
      <c r="J7" s="18"/>
      <c r="K7" s="18"/>
      <c r="L7" s="18"/>
    </row>
    <row r="8" spans="1:12" ht="15" customHeight="1">
      <c r="A8" s="58" t="s">
        <v>2</v>
      </c>
      <c r="B8" s="214">
        <v>75</v>
      </c>
      <c r="C8" s="214">
        <v>75</v>
      </c>
      <c r="D8" s="214">
        <v>200</v>
      </c>
      <c r="E8" s="214">
        <v>75</v>
      </c>
      <c r="F8" s="214">
        <v>200</v>
      </c>
      <c r="G8" s="215">
        <v>200</v>
      </c>
      <c r="H8" s="18"/>
      <c r="I8" s="18"/>
      <c r="J8" s="18"/>
      <c r="K8" s="18"/>
      <c r="L8" s="18"/>
    </row>
    <row r="9" spans="1:12" ht="15" customHeight="1">
      <c r="A9" s="58" t="s">
        <v>175</v>
      </c>
      <c r="B9" s="289">
        <f>B91</f>
        <v>87.05909090909091</v>
      </c>
      <c r="C9" s="289">
        <f>C91</f>
        <v>80.25</v>
      </c>
      <c r="D9" s="289">
        <f>D91</f>
        <v>92.89545454545454</v>
      </c>
      <c r="E9" s="289">
        <f>E91</f>
        <v>156.33116883116887</v>
      </c>
      <c r="F9" s="289">
        <f>F91</f>
        <v>114.22597402597404</v>
      </c>
      <c r="G9" s="289">
        <f>G91</f>
        <v>132.70779220779224</v>
      </c>
      <c r="H9" s="18"/>
      <c r="I9" s="18"/>
      <c r="J9" s="18"/>
      <c r="K9" s="18"/>
      <c r="L9" s="18"/>
    </row>
    <row r="10" spans="1:12" ht="15" customHeight="1">
      <c r="A10" s="58" t="s">
        <v>1</v>
      </c>
      <c r="B10" s="216">
        <v>5</v>
      </c>
      <c r="C10" s="216">
        <v>5</v>
      </c>
      <c r="D10" s="216">
        <v>100</v>
      </c>
      <c r="E10" s="216">
        <v>12</v>
      </c>
      <c r="F10" s="216">
        <v>25</v>
      </c>
      <c r="G10" s="217">
        <v>25</v>
      </c>
      <c r="H10" s="18"/>
      <c r="I10" s="18"/>
      <c r="J10" s="18"/>
      <c r="K10" s="18"/>
      <c r="L10" s="18"/>
    </row>
    <row r="11" spans="1:12" ht="15" customHeight="1">
      <c r="A11" s="58" t="s">
        <v>177</v>
      </c>
      <c r="B11" s="289">
        <f>B92</f>
        <v>121.63030303030301</v>
      </c>
      <c r="C11" s="289">
        <f>C92</f>
        <v>121.63030303030301</v>
      </c>
      <c r="D11" s="289">
        <f>D92</f>
        <v>338.5030303030303</v>
      </c>
      <c r="E11" s="289">
        <f>E92</f>
        <v>121.63030303030301</v>
      </c>
      <c r="F11" s="289">
        <f>F92</f>
        <v>257.17575757575753</v>
      </c>
      <c r="G11" s="289">
        <f>G92</f>
        <v>338.5030303030303</v>
      </c>
      <c r="H11" s="18"/>
      <c r="I11" s="18"/>
      <c r="J11" s="18"/>
      <c r="K11" s="18"/>
      <c r="L11" s="18"/>
    </row>
    <row r="12" spans="1:12" ht="15" customHeight="1">
      <c r="A12" s="136" t="s">
        <v>33</v>
      </c>
      <c r="B12" s="214">
        <v>1000</v>
      </c>
      <c r="C12" s="214">
        <v>1000</v>
      </c>
      <c r="D12" s="214">
        <v>1000</v>
      </c>
      <c r="E12" s="214">
        <v>1000</v>
      </c>
      <c r="F12" s="214">
        <v>1000</v>
      </c>
      <c r="G12" s="214">
        <v>1000</v>
      </c>
      <c r="H12" s="18"/>
      <c r="I12" s="18"/>
      <c r="J12" s="18"/>
      <c r="K12" s="18"/>
      <c r="L12" s="18"/>
    </row>
    <row r="13" spans="1:12" ht="15" customHeight="1" thickBot="1">
      <c r="A13" s="59" t="s">
        <v>174</v>
      </c>
      <c r="B13" s="290">
        <f>Cattle!B9</f>
        <v>1000</v>
      </c>
      <c r="C13" s="290">
        <f>Cattle!C9</f>
        <v>1000</v>
      </c>
      <c r="D13" s="290">
        <f>Cattle!D9</f>
        <v>400</v>
      </c>
      <c r="E13" s="290">
        <f>Cattle!E9</f>
        <v>1000</v>
      </c>
      <c r="F13" s="290">
        <f>Cattle!F9</f>
        <v>500</v>
      </c>
      <c r="G13" s="290">
        <f>Cattle!G9</f>
        <v>400</v>
      </c>
      <c r="H13" s="18"/>
      <c r="I13" s="18"/>
      <c r="J13" s="18"/>
      <c r="K13" s="18"/>
      <c r="L13" s="18"/>
    </row>
    <row r="14" spans="1:12" ht="15" customHeight="1">
      <c r="A14" s="58" t="s">
        <v>180</v>
      </c>
      <c r="B14" s="220">
        <v>0</v>
      </c>
      <c r="C14" s="220">
        <v>0</v>
      </c>
      <c r="D14" s="220">
        <v>0</v>
      </c>
      <c r="E14" s="220">
        <v>0</v>
      </c>
      <c r="F14" s="220">
        <v>0</v>
      </c>
      <c r="G14" s="221">
        <v>0</v>
      </c>
      <c r="H14" s="18"/>
      <c r="I14" s="18"/>
      <c r="J14" s="18"/>
      <c r="K14" s="18"/>
      <c r="L14" s="18"/>
    </row>
    <row r="15" spans="1:12" ht="15" customHeight="1">
      <c r="A15" s="58" t="s">
        <v>181</v>
      </c>
      <c r="B15" s="216">
        <v>0</v>
      </c>
      <c r="C15" s="216">
        <v>0</v>
      </c>
      <c r="D15" s="216">
        <v>0</v>
      </c>
      <c r="E15" s="216">
        <v>0</v>
      </c>
      <c r="F15" s="216">
        <v>0</v>
      </c>
      <c r="G15" s="217">
        <v>0</v>
      </c>
      <c r="H15" s="18"/>
      <c r="I15" s="18"/>
      <c r="J15" s="18"/>
      <c r="K15" s="18"/>
      <c r="L15" s="18"/>
    </row>
    <row r="16" spans="1:12" ht="15" customHeight="1" thickBot="1">
      <c r="A16" s="59" t="s">
        <v>182</v>
      </c>
      <c r="B16" s="218">
        <v>0</v>
      </c>
      <c r="C16" s="218">
        <v>0</v>
      </c>
      <c r="D16" s="218">
        <v>0</v>
      </c>
      <c r="E16" s="218">
        <v>0</v>
      </c>
      <c r="F16" s="218">
        <v>0</v>
      </c>
      <c r="G16" s="219">
        <v>0</v>
      </c>
      <c r="H16" s="18"/>
      <c r="I16" s="18"/>
      <c r="J16" s="18"/>
      <c r="K16" s="18"/>
      <c r="L16" s="18"/>
    </row>
    <row r="17" spans="1:12" ht="15" customHeight="1" thickBot="1">
      <c r="A17" s="31" t="s">
        <v>178</v>
      </c>
      <c r="B17" s="222"/>
      <c r="C17" s="222"/>
      <c r="D17" s="222"/>
      <c r="E17" s="222"/>
      <c r="F17" s="222"/>
      <c r="G17" s="223"/>
      <c r="H17" s="18"/>
      <c r="I17" s="18"/>
      <c r="J17" s="18"/>
      <c r="K17" s="18"/>
      <c r="L17" s="18"/>
    </row>
    <row r="18" spans="1:12" ht="15" customHeight="1">
      <c r="A18" s="108" t="s">
        <v>12</v>
      </c>
      <c r="B18" s="224">
        <v>217</v>
      </c>
      <c r="C18" s="224">
        <v>217</v>
      </c>
      <c r="D18" s="224">
        <v>217</v>
      </c>
      <c r="E18" s="225">
        <v>250</v>
      </c>
      <c r="F18" s="224">
        <v>250</v>
      </c>
      <c r="G18" s="226">
        <v>250</v>
      </c>
      <c r="H18" s="18"/>
      <c r="I18" s="18"/>
      <c r="J18" s="18"/>
      <c r="K18" s="18"/>
      <c r="L18" s="18"/>
    </row>
    <row r="19" spans="1:12" ht="15" customHeight="1">
      <c r="A19" s="27" t="s">
        <v>179</v>
      </c>
      <c r="B19" s="227">
        <v>130</v>
      </c>
      <c r="C19" s="227">
        <v>130</v>
      </c>
      <c r="D19" s="227">
        <v>130</v>
      </c>
      <c r="E19" s="228">
        <v>130</v>
      </c>
      <c r="F19" s="227">
        <v>130</v>
      </c>
      <c r="G19" s="229">
        <v>130</v>
      </c>
      <c r="H19" s="18"/>
      <c r="I19" s="18"/>
      <c r="J19" s="18"/>
      <c r="K19" s="18"/>
      <c r="L19" s="18"/>
    </row>
    <row r="20" spans="1:12" ht="15" customHeight="1" thickBot="1">
      <c r="A20" s="28" t="s">
        <v>13</v>
      </c>
      <c r="B20" s="230">
        <v>72</v>
      </c>
      <c r="C20" s="230">
        <v>72</v>
      </c>
      <c r="D20" s="230">
        <v>72</v>
      </c>
      <c r="E20" s="231">
        <v>72</v>
      </c>
      <c r="F20" s="230">
        <v>72</v>
      </c>
      <c r="G20" s="232">
        <v>72</v>
      </c>
      <c r="H20" s="18"/>
      <c r="I20" s="18"/>
      <c r="J20" s="18"/>
      <c r="K20" s="18"/>
      <c r="L20" s="18"/>
    </row>
    <row r="21" spans="1:12" ht="15" customHeight="1">
      <c r="A21" s="108" t="s">
        <v>38</v>
      </c>
      <c r="B21" s="224">
        <v>25</v>
      </c>
      <c r="C21" s="233">
        <v>25</v>
      </c>
      <c r="D21" s="233">
        <v>25</v>
      </c>
      <c r="E21" s="234">
        <v>25</v>
      </c>
      <c r="F21" s="233">
        <v>25</v>
      </c>
      <c r="G21" s="235">
        <v>25</v>
      </c>
      <c r="H21" s="18"/>
      <c r="I21" s="18"/>
      <c r="J21" s="18"/>
      <c r="K21" s="18"/>
      <c r="L21" s="18"/>
    </row>
    <row r="22" spans="1:12" ht="15" customHeight="1">
      <c r="A22" s="27" t="s">
        <v>39</v>
      </c>
      <c r="B22" s="227">
        <v>30</v>
      </c>
      <c r="C22" s="236">
        <v>30</v>
      </c>
      <c r="D22" s="236">
        <v>30</v>
      </c>
      <c r="E22" s="237">
        <v>30</v>
      </c>
      <c r="F22" s="236">
        <v>30</v>
      </c>
      <c r="G22" s="238">
        <v>30</v>
      </c>
      <c r="H22" s="18"/>
      <c r="I22" s="18"/>
      <c r="J22" s="18"/>
      <c r="K22" s="18"/>
      <c r="L22" s="18"/>
    </row>
    <row r="23" spans="1:12" ht="15" customHeight="1" thickBot="1">
      <c r="A23" s="28" t="s">
        <v>37</v>
      </c>
      <c r="B23" s="230">
        <v>5</v>
      </c>
      <c r="C23" s="230">
        <v>5</v>
      </c>
      <c r="D23" s="230">
        <v>5</v>
      </c>
      <c r="E23" s="231">
        <v>5</v>
      </c>
      <c r="F23" s="230">
        <v>5</v>
      </c>
      <c r="G23" s="232">
        <v>5</v>
      </c>
      <c r="H23" s="18"/>
      <c r="I23" s="18"/>
      <c r="J23" s="18"/>
      <c r="K23" s="18"/>
      <c r="L23" s="18"/>
    </row>
    <row r="24" spans="1:12" ht="15" customHeight="1">
      <c r="A24" s="135" t="s">
        <v>111</v>
      </c>
      <c r="B24" s="239"/>
      <c r="C24" s="239"/>
      <c r="D24" s="239"/>
      <c r="E24" s="239"/>
      <c r="F24" s="239"/>
      <c r="G24" s="240"/>
      <c r="H24" s="18"/>
      <c r="I24" s="18"/>
      <c r="J24" s="18"/>
      <c r="K24" s="18"/>
      <c r="L24" s="18"/>
    </row>
    <row r="25" spans="1:12" ht="15" customHeight="1" thickBot="1">
      <c r="A25" s="49" t="s">
        <v>112</v>
      </c>
      <c r="B25" s="241"/>
      <c r="C25" s="241"/>
      <c r="D25" s="241"/>
      <c r="E25" s="241"/>
      <c r="F25" s="241"/>
      <c r="G25" s="242"/>
      <c r="H25" s="18"/>
      <c r="I25" s="18"/>
      <c r="J25" s="18"/>
      <c r="K25" s="18"/>
      <c r="L25" s="18"/>
    </row>
    <row r="26" spans="1:12" ht="15" customHeight="1" thickBot="1">
      <c r="A26" s="10" t="s">
        <v>16</v>
      </c>
      <c r="B26" s="243"/>
      <c r="C26" s="243"/>
      <c r="D26" s="243"/>
      <c r="E26" s="243"/>
      <c r="F26" s="243"/>
      <c r="G26" s="244"/>
      <c r="H26" s="18"/>
      <c r="I26" s="18"/>
      <c r="J26" s="18"/>
      <c r="K26" s="18"/>
      <c r="L26" s="18"/>
    </row>
    <row r="27" spans="1:12" ht="15" customHeight="1">
      <c r="A27" s="26" t="s">
        <v>10</v>
      </c>
      <c r="B27" s="245">
        <f>Land!$B82*Land!B87</f>
        <v>360</v>
      </c>
      <c r="C27" s="245">
        <f>Land!$B82*Land!C87</f>
        <v>360</v>
      </c>
      <c r="D27" s="245">
        <f>Land!$B82*Land!D87</f>
        <v>360</v>
      </c>
      <c r="E27" s="245">
        <f>IF(OutPut!$F$13&lt;4,Land!$B82*Land!E87,Land!$C82*Land!E87)</f>
        <v>251.99999999999997</v>
      </c>
      <c r="F27" s="245">
        <f>IF(OutPut!$F$13&lt;4,Land!$B82*Land!F87,Land!$C82*Land!F87)</f>
        <v>251.99999999999997</v>
      </c>
      <c r="G27" s="246">
        <f>IF(OutPut!$F$13&lt;4,Land!$B82*Land!G87,Land!$C82*Land!G87)</f>
        <v>251.99999999999997</v>
      </c>
      <c r="H27" s="18"/>
      <c r="I27" s="18"/>
      <c r="J27" s="18"/>
      <c r="K27" s="18"/>
      <c r="L27" s="18"/>
    </row>
    <row r="28" spans="1:12" ht="15" customHeight="1" thickBot="1">
      <c r="A28" s="28" t="s">
        <v>11</v>
      </c>
      <c r="B28" s="247">
        <f>Land!$B83*Land!B88</f>
        <v>715</v>
      </c>
      <c r="C28" s="247">
        <f>Land!$B83*Land!C88</f>
        <v>715</v>
      </c>
      <c r="D28" s="247">
        <f>Land!$B83*Land!D88</f>
        <v>715</v>
      </c>
      <c r="E28" s="247">
        <f>IF(OutPut!$F$13&lt;4,Land!$B83*Land!E88,Land!$C83*Land!E88)</f>
        <v>500.49999999999994</v>
      </c>
      <c r="F28" s="247">
        <f>IF(OutPut!$F$13&lt;4,Land!$B83*Land!F88,Land!$C83*Land!F88)</f>
        <v>500.49999999999994</v>
      </c>
      <c r="G28" s="248">
        <f>IF(OutPut!$F$13&lt;4,Land!$B83*Land!G88,Land!$C83*Land!G88)</f>
        <v>500.49999999999994</v>
      </c>
      <c r="H28" s="18"/>
      <c r="I28" s="18"/>
      <c r="J28" s="18"/>
      <c r="K28" s="18"/>
      <c r="L28" s="18"/>
    </row>
    <row r="29" spans="1:12" ht="15" customHeight="1">
      <c r="A29" s="58" t="s">
        <v>183</v>
      </c>
      <c r="B29" s="249">
        <v>140</v>
      </c>
      <c r="C29" s="249">
        <v>140</v>
      </c>
      <c r="D29" s="249">
        <v>140</v>
      </c>
      <c r="E29" s="249">
        <v>160</v>
      </c>
      <c r="F29" s="249">
        <v>160</v>
      </c>
      <c r="G29" s="249">
        <v>160</v>
      </c>
      <c r="H29" s="18"/>
      <c r="I29" s="18"/>
      <c r="J29" s="18"/>
      <c r="K29" s="18"/>
      <c r="L29" s="18"/>
    </row>
    <row r="30" spans="1:12" ht="15" customHeight="1">
      <c r="A30" s="58" t="s">
        <v>184</v>
      </c>
      <c r="B30" s="250">
        <v>45</v>
      </c>
      <c r="C30" s="250">
        <v>45</v>
      </c>
      <c r="D30" s="250">
        <v>45</v>
      </c>
      <c r="E30" s="250">
        <v>50</v>
      </c>
      <c r="F30" s="250">
        <v>50</v>
      </c>
      <c r="G30" s="250">
        <v>50</v>
      </c>
      <c r="H30" s="18"/>
      <c r="I30" s="18"/>
      <c r="J30" s="18"/>
      <c r="K30" s="18"/>
      <c r="L30" s="18"/>
    </row>
    <row r="31" spans="1:12" ht="15" customHeight="1" thickBot="1">
      <c r="A31" s="59" t="s">
        <v>185</v>
      </c>
      <c r="B31" s="241">
        <v>10</v>
      </c>
      <c r="C31" s="241">
        <v>10</v>
      </c>
      <c r="D31" s="241">
        <v>10</v>
      </c>
      <c r="E31" s="241">
        <v>10</v>
      </c>
      <c r="F31" s="241">
        <v>10</v>
      </c>
      <c r="G31" s="241">
        <v>10</v>
      </c>
      <c r="H31" s="18"/>
      <c r="I31" s="18"/>
      <c r="J31" s="18"/>
      <c r="K31" s="18"/>
      <c r="L31" s="18"/>
    </row>
    <row r="32" spans="1:12" ht="15" customHeight="1">
      <c r="A32" s="135" t="s">
        <v>109</v>
      </c>
      <c r="B32" s="239"/>
      <c r="C32" s="239"/>
      <c r="D32" s="239"/>
      <c r="E32" s="239"/>
      <c r="F32" s="239"/>
      <c r="G32" s="240"/>
      <c r="H32" s="18"/>
      <c r="I32" s="18"/>
      <c r="J32" s="18"/>
      <c r="K32" s="18"/>
      <c r="L32" s="18"/>
    </row>
    <row r="33" spans="1:12" ht="15" customHeight="1" thickBot="1">
      <c r="A33" s="114" t="s">
        <v>110</v>
      </c>
      <c r="B33" s="241"/>
      <c r="C33" s="241"/>
      <c r="D33" s="241"/>
      <c r="E33" s="241"/>
      <c r="F33" s="241"/>
      <c r="G33" s="242"/>
      <c r="H33" s="18"/>
      <c r="I33" s="18"/>
      <c r="J33" s="18"/>
      <c r="K33" s="18"/>
      <c r="L33" s="18"/>
    </row>
    <row r="34" spans="1:12" ht="15" customHeight="1" thickBot="1">
      <c r="A34" s="31" t="s">
        <v>141</v>
      </c>
      <c r="B34" s="251"/>
      <c r="C34" s="251"/>
      <c r="D34" s="251"/>
      <c r="E34" s="251"/>
      <c r="F34" s="251"/>
      <c r="G34" s="252"/>
      <c r="H34" s="18"/>
      <c r="I34" s="18"/>
      <c r="J34" s="18"/>
      <c r="K34" s="18"/>
      <c r="L34" s="18"/>
    </row>
    <row r="35" spans="1:12" ht="15" customHeight="1">
      <c r="A35" s="108" t="s">
        <v>137</v>
      </c>
      <c r="B35" s="224"/>
      <c r="C35" s="224"/>
      <c r="D35" s="224"/>
      <c r="E35" s="225"/>
      <c r="F35" s="224"/>
      <c r="G35" s="224"/>
      <c r="H35" s="18"/>
      <c r="I35" s="18"/>
      <c r="J35" s="18"/>
      <c r="K35" s="18"/>
      <c r="L35" s="18"/>
    </row>
    <row r="36" spans="1:12" ht="15" customHeight="1">
      <c r="A36" s="27" t="s">
        <v>113</v>
      </c>
      <c r="B36" s="253"/>
      <c r="C36" s="253"/>
      <c r="D36" s="253"/>
      <c r="E36" s="254"/>
      <c r="F36" s="253"/>
      <c r="G36" s="253"/>
      <c r="H36" s="18"/>
      <c r="I36" s="18"/>
      <c r="J36" s="18"/>
      <c r="K36" s="18"/>
      <c r="L36" s="18"/>
    </row>
    <row r="37" spans="1:12" ht="15" customHeight="1">
      <c r="A37" s="27" t="s">
        <v>114</v>
      </c>
      <c r="B37" s="253"/>
      <c r="C37" s="253"/>
      <c r="D37" s="253"/>
      <c r="E37" s="254"/>
      <c r="F37" s="253"/>
      <c r="G37" s="253"/>
      <c r="H37" s="18"/>
      <c r="I37" s="18"/>
      <c r="J37" s="18"/>
      <c r="K37" s="18"/>
      <c r="L37" s="18"/>
    </row>
    <row r="38" spans="1:12" ht="15" customHeight="1" thickBot="1">
      <c r="A38" s="27" t="s">
        <v>115</v>
      </c>
      <c r="B38" s="230"/>
      <c r="C38" s="230"/>
      <c r="D38" s="230"/>
      <c r="E38" s="231"/>
      <c r="F38" s="230"/>
      <c r="G38" s="230"/>
      <c r="H38" s="18"/>
      <c r="I38" s="18"/>
      <c r="J38" s="18"/>
      <c r="K38" s="18"/>
      <c r="L38" s="18"/>
    </row>
    <row r="39" spans="1:12" ht="15" customHeight="1">
      <c r="A39" s="108" t="s">
        <v>136</v>
      </c>
      <c r="B39" s="253"/>
      <c r="C39" s="253"/>
      <c r="D39" s="253"/>
      <c r="E39" s="254"/>
      <c r="F39" s="253"/>
      <c r="G39" s="253"/>
      <c r="H39" s="18"/>
      <c r="I39" s="18"/>
      <c r="J39" s="18"/>
      <c r="K39" s="18"/>
      <c r="L39" s="18"/>
    </row>
    <row r="40" spans="1:12" ht="15" customHeight="1">
      <c r="A40" s="27" t="s">
        <v>113</v>
      </c>
      <c r="B40" s="253"/>
      <c r="C40" s="253"/>
      <c r="D40" s="253"/>
      <c r="E40" s="254"/>
      <c r="F40" s="253"/>
      <c r="G40" s="253"/>
      <c r="H40" s="18"/>
      <c r="I40" s="18"/>
      <c r="J40" s="18"/>
      <c r="K40" s="18"/>
      <c r="L40" s="18"/>
    </row>
    <row r="41" spans="1:12" ht="15" customHeight="1">
      <c r="A41" s="27" t="s">
        <v>114</v>
      </c>
      <c r="B41" s="253"/>
      <c r="C41" s="253"/>
      <c r="D41" s="253"/>
      <c r="E41" s="254"/>
      <c r="F41" s="253"/>
      <c r="G41" s="253"/>
      <c r="H41" s="18"/>
      <c r="I41" s="18"/>
      <c r="J41" s="18"/>
      <c r="K41" s="18"/>
      <c r="L41" s="18"/>
    </row>
    <row r="42" spans="1:12" ht="15" customHeight="1" thickBot="1">
      <c r="A42" s="27" t="s">
        <v>115</v>
      </c>
      <c r="B42" s="230"/>
      <c r="C42" s="230"/>
      <c r="D42" s="230"/>
      <c r="E42" s="231"/>
      <c r="F42" s="230"/>
      <c r="G42" s="230"/>
      <c r="H42" s="18"/>
      <c r="I42" s="18"/>
      <c r="J42" s="18"/>
      <c r="K42" s="18"/>
      <c r="L42" s="18"/>
    </row>
    <row r="43" spans="1:12" ht="15" customHeight="1">
      <c r="A43" s="108" t="s">
        <v>138</v>
      </c>
      <c r="B43" s="253"/>
      <c r="C43" s="253"/>
      <c r="D43" s="253"/>
      <c r="E43" s="254"/>
      <c r="F43" s="253"/>
      <c r="G43" s="253"/>
      <c r="H43" s="18"/>
      <c r="I43" s="18"/>
      <c r="J43" s="18"/>
      <c r="K43" s="18"/>
      <c r="L43" s="18"/>
    </row>
    <row r="44" spans="1:12" ht="15" customHeight="1">
      <c r="A44" s="27" t="s">
        <v>113</v>
      </c>
      <c r="B44" s="253"/>
      <c r="C44" s="253"/>
      <c r="D44" s="253"/>
      <c r="E44" s="254"/>
      <c r="F44" s="253"/>
      <c r="G44" s="253"/>
      <c r="H44" s="18"/>
      <c r="I44" s="18"/>
      <c r="J44" s="18"/>
      <c r="K44" s="18"/>
      <c r="L44" s="18"/>
    </row>
    <row r="45" spans="1:12" ht="15" customHeight="1">
      <c r="A45" s="27" t="s">
        <v>114</v>
      </c>
      <c r="B45" s="253"/>
      <c r="C45" s="253"/>
      <c r="D45" s="253"/>
      <c r="E45" s="254"/>
      <c r="F45" s="253"/>
      <c r="G45" s="253"/>
      <c r="H45" s="18"/>
      <c r="I45" s="18"/>
      <c r="J45" s="18"/>
      <c r="K45" s="18"/>
      <c r="L45" s="18"/>
    </row>
    <row r="46" spans="1:12" ht="15" customHeight="1" thickBot="1">
      <c r="A46" s="27" t="s">
        <v>115</v>
      </c>
      <c r="B46" s="230"/>
      <c r="C46" s="230"/>
      <c r="D46" s="230"/>
      <c r="E46" s="231"/>
      <c r="F46" s="230"/>
      <c r="G46" s="230"/>
      <c r="H46" s="18"/>
      <c r="I46" s="18"/>
      <c r="J46" s="18"/>
      <c r="K46" s="18"/>
      <c r="L46" s="18"/>
    </row>
    <row r="47" spans="1:12" ht="15" customHeight="1">
      <c r="A47" s="108" t="s">
        <v>139</v>
      </c>
      <c r="B47" s="253"/>
      <c r="C47" s="253"/>
      <c r="D47" s="253"/>
      <c r="E47" s="254"/>
      <c r="F47" s="253"/>
      <c r="G47" s="253"/>
      <c r="H47" s="18"/>
      <c r="I47" s="18"/>
      <c r="J47" s="18"/>
      <c r="K47" s="18"/>
      <c r="L47" s="18"/>
    </row>
    <row r="48" spans="1:12" ht="15" customHeight="1">
      <c r="A48" s="27" t="s">
        <v>113</v>
      </c>
      <c r="B48" s="253"/>
      <c r="C48" s="253"/>
      <c r="D48" s="253"/>
      <c r="E48" s="254"/>
      <c r="F48" s="253"/>
      <c r="G48" s="253"/>
      <c r="H48" s="18"/>
      <c r="I48" s="18"/>
      <c r="J48" s="18"/>
      <c r="K48" s="18"/>
      <c r="L48" s="18"/>
    </row>
    <row r="49" spans="1:12" ht="15" customHeight="1">
      <c r="A49" s="27" t="s">
        <v>114</v>
      </c>
      <c r="B49" s="253"/>
      <c r="C49" s="253"/>
      <c r="D49" s="253"/>
      <c r="E49" s="254"/>
      <c r="F49" s="253"/>
      <c r="G49" s="253"/>
      <c r="H49" s="18"/>
      <c r="I49" s="18"/>
      <c r="J49" s="18"/>
      <c r="K49" s="18"/>
      <c r="L49" s="18"/>
    </row>
    <row r="50" spans="1:12" ht="15" customHeight="1" thickBot="1">
      <c r="A50" s="27" t="s">
        <v>115</v>
      </c>
      <c r="B50" s="230"/>
      <c r="C50" s="230"/>
      <c r="D50" s="230"/>
      <c r="E50" s="231"/>
      <c r="F50" s="230"/>
      <c r="G50" s="230"/>
      <c r="H50" s="18"/>
      <c r="I50" s="18"/>
      <c r="J50" s="18"/>
      <c r="K50" s="18"/>
      <c r="L50" s="18"/>
    </row>
    <row r="51" spans="1:12" ht="15" customHeight="1">
      <c r="A51" s="108" t="s">
        <v>140</v>
      </c>
      <c r="B51" s="253"/>
      <c r="C51" s="253"/>
      <c r="D51" s="253"/>
      <c r="E51" s="254"/>
      <c r="F51" s="253"/>
      <c r="G51" s="253"/>
      <c r="H51" s="18"/>
      <c r="I51" s="18"/>
      <c r="J51" s="18"/>
      <c r="K51" s="18"/>
      <c r="L51" s="18"/>
    </row>
    <row r="52" spans="1:12" ht="15" customHeight="1">
      <c r="A52" s="27" t="s">
        <v>113</v>
      </c>
      <c r="B52" s="253"/>
      <c r="C52" s="253"/>
      <c r="D52" s="253"/>
      <c r="E52" s="254"/>
      <c r="F52" s="253"/>
      <c r="G52" s="253"/>
      <c r="H52" s="18"/>
      <c r="I52" s="18"/>
      <c r="J52" s="18"/>
      <c r="K52" s="18"/>
      <c r="L52" s="18"/>
    </row>
    <row r="53" spans="1:12" ht="15" customHeight="1">
      <c r="A53" s="27" t="s">
        <v>114</v>
      </c>
      <c r="B53" s="253"/>
      <c r="C53" s="253"/>
      <c r="D53" s="253"/>
      <c r="E53" s="254"/>
      <c r="F53" s="253"/>
      <c r="G53" s="253"/>
      <c r="H53" s="18"/>
      <c r="I53" s="18"/>
      <c r="J53" s="18"/>
      <c r="K53" s="18"/>
      <c r="L53" s="18"/>
    </row>
    <row r="54" spans="1:12" ht="15" customHeight="1" thickBot="1">
      <c r="A54" s="27" t="s">
        <v>115</v>
      </c>
      <c r="B54" s="230"/>
      <c r="C54" s="230"/>
      <c r="D54" s="230"/>
      <c r="E54" s="231"/>
      <c r="F54" s="230"/>
      <c r="G54" s="230"/>
      <c r="H54" s="18"/>
      <c r="I54" s="18"/>
      <c r="J54" s="18"/>
      <c r="K54" s="18"/>
      <c r="L54" s="18"/>
    </row>
    <row r="55" spans="1:12" ht="15" customHeight="1" thickBot="1">
      <c r="A55" s="31" t="s">
        <v>116</v>
      </c>
      <c r="B55" s="251"/>
      <c r="C55" s="251"/>
      <c r="D55" s="251"/>
      <c r="E55" s="251"/>
      <c r="F55" s="251"/>
      <c r="G55" s="252"/>
      <c r="H55" s="18"/>
      <c r="I55" s="18"/>
      <c r="J55" s="18"/>
      <c r="K55" s="18"/>
      <c r="L55" s="18"/>
    </row>
    <row r="56" spans="1:12" ht="15" customHeight="1">
      <c r="A56" s="108" t="s">
        <v>137</v>
      </c>
      <c r="B56" s="224"/>
      <c r="C56" s="224"/>
      <c r="D56" s="224"/>
      <c r="E56" s="225"/>
      <c r="F56" s="224"/>
      <c r="G56" s="224"/>
      <c r="H56" s="18"/>
      <c r="I56" s="18"/>
      <c r="J56" s="18"/>
      <c r="K56" s="18"/>
      <c r="L56" s="18"/>
    </row>
    <row r="57" spans="1:12" ht="15" customHeight="1">
      <c r="A57" s="27" t="s">
        <v>113</v>
      </c>
      <c r="B57" s="253"/>
      <c r="C57" s="253"/>
      <c r="D57" s="253"/>
      <c r="E57" s="254"/>
      <c r="F57" s="253"/>
      <c r="G57" s="253"/>
      <c r="H57" s="18"/>
      <c r="I57" s="18"/>
      <c r="J57" s="18"/>
      <c r="K57" s="18"/>
      <c r="L57" s="18"/>
    </row>
    <row r="58" spans="1:12" ht="15" customHeight="1">
      <c r="A58" s="27" t="s">
        <v>114</v>
      </c>
      <c r="B58" s="253"/>
      <c r="C58" s="253"/>
      <c r="D58" s="253"/>
      <c r="E58" s="254"/>
      <c r="F58" s="253"/>
      <c r="G58" s="253"/>
      <c r="H58" s="18"/>
      <c r="I58" s="18"/>
      <c r="J58" s="18"/>
      <c r="K58" s="18"/>
      <c r="L58" s="18"/>
    </row>
    <row r="59" spans="1:12" ht="15" customHeight="1" thickBot="1">
      <c r="A59" s="27" t="s">
        <v>115</v>
      </c>
      <c r="B59" s="230"/>
      <c r="C59" s="230"/>
      <c r="D59" s="230"/>
      <c r="E59" s="231"/>
      <c r="F59" s="230"/>
      <c r="G59" s="230"/>
      <c r="H59" s="18"/>
      <c r="I59" s="18"/>
      <c r="J59" s="18"/>
      <c r="K59" s="18"/>
      <c r="L59" s="18"/>
    </row>
    <row r="60" spans="1:12" ht="15" customHeight="1">
      <c r="A60" s="108" t="s">
        <v>136</v>
      </c>
      <c r="B60" s="253"/>
      <c r="C60" s="253"/>
      <c r="D60" s="253"/>
      <c r="E60" s="254"/>
      <c r="F60" s="253"/>
      <c r="G60" s="253"/>
      <c r="H60" s="18"/>
      <c r="I60" s="18"/>
      <c r="J60" s="18"/>
      <c r="K60" s="18"/>
      <c r="L60" s="18"/>
    </row>
    <row r="61" spans="1:12" ht="15" customHeight="1">
      <c r="A61" s="27" t="s">
        <v>113</v>
      </c>
      <c r="B61" s="253"/>
      <c r="C61" s="253"/>
      <c r="D61" s="253"/>
      <c r="E61" s="254"/>
      <c r="F61" s="253"/>
      <c r="G61" s="253"/>
      <c r="H61" s="18"/>
      <c r="I61" s="18"/>
      <c r="J61" s="18"/>
      <c r="K61" s="18"/>
      <c r="L61" s="18"/>
    </row>
    <row r="62" spans="1:12" ht="15" customHeight="1">
      <c r="A62" s="27" t="s">
        <v>114</v>
      </c>
      <c r="B62" s="253"/>
      <c r="C62" s="253"/>
      <c r="D62" s="253"/>
      <c r="E62" s="254"/>
      <c r="F62" s="253"/>
      <c r="G62" s="253"/>
      <c r="H62" s="18"/>
      <c r="I62" s="18"/>
      <c r="J62" s="18"/>
      <c r="K62" s="18"/>
      <c r="L62" s="18"/>
    </row>
    <row r="63" spans="1:12" ht="15" customHeight="1" thickBot="1">
      <c r="A63" s="27" t="s">
        <v>115</v>
      </c>
      <c r="B63" s="230"/>
      <c r="C63" s="230"/>
      <c r="D63" s="230"/>
      <c r="E63" s="231"/>
      <c r="F63" s="230"/>
      <c r="G63" s="230"/>
      <c r="H63" s="18"/>
      <c r="I63" s="18"/>
      <c r="J63" s="18"/>
      <c r="K63" s="18"/>
      <c r="L63" s="18"/>
    </row>
    <row r="64" spans="1:12" ht="15" customHeight="1">
      <c r="A64" s="108" t="s">
        <v>138</v>
      </c>
      <c r="B64" s="253"/>
      <c r="C64" s="253"/>
      <c r="D64" s="253"/>
      <c r="E64" s="254"/>
      <c r="F64" s="253"/>
      <c r="G64" s="253"/>
      <c r="H64" s="18"/>
      <c r="I64" s="18"/>
      <c r="J64" s="18"/>
      <c r="K64" s="18"/>
      <c r="L64" s="18"/>
    </row>
    <row r="65" spans="1:12" ht="15" customHeight="1">
      <c r="A65" s="27" t="s">
        <v>113</v>
      </c>
      <c r="B65" s="253"/>
      <c r="C65" s="253"/>
      <c r="D65" s="253"/>
      <c r="E65" s="254"/>
      <c r="F65" s="253"/>
      <c r="G65" s="253"/>
      <c r="H65" s="18"/>
      <c r="I65" s="18"/>
      <c r="J65" s="18"/>
      <c r="K65" s="18"/>
      <c r="L65" s="18"/>
    </row>
    <row r="66" spans="1:12" ht="15" customHeight="1">
      <c r="A66" s="27" t="s">
        <v>114</v>
      </c>
      <c r="B66" s="253"/>
      <c r="C66" s="253"/>
      <c r="D66" s="253"/>
      <c r="E66" s="254"/>
      <c r="F66" s="253"/>
      <c r="G66" s="253"/>
      <c r="H66" s="18"/>
      <c r="I66" s="18"/>
      <c r="J66" s="18"/>
      <c r="K66" s="18"/>
      <c r="L66" s="18"/>
    </row>
    <row r="67" spans="1:12" ht="15" customHeight="1" thickBot="1">
      <c r="A67" s="27" t="s">
        <v>115</v>
      </c>
      <c r="B67" s="230"/>
      <c r="C67" s="230"/>
      <c r="D67" s="230"/>
      <c r="E67" s="231"/>
      <c r="F67" s="230"/>
      <c r="G67" s="230"/>
      <c r="H67" s="18"/>
      <c r="I67" s="18"/>
      <c r="J67" s="18"/>
      <c r="K67" s="18"/>
      <c r="L67" s="18"/>
    </row>
    <row r="68" spans="1:12" ht="15" customHeight="1">
      <c r="A68" s="108" t="s">
        <v>139</v>
      </c>
      <c r="B68" s="253"/>
      <c r="C68" s="253"/>
      <c r="D68" s="253"/>
      <c r="E68" s="254"/>
      <c r="F68" s="253"/>
      <c r="G68" s="253"/>
      <c r="H68" s="18"/>
      <c r="I68" s="18"/>
      <c r="J68" s="18"/>
      <c r="K68" s="18"/>
      <c r="L68" s="18"/>
    </row>
    <row r="69" spans="1:12" ht="15" customHeight="1">
      <c r="A69" s="27" t="s">
        <v>113</v>
      </c>
      <c r="B69" s="253"/>
      <c r="C69" s="253"/>
      <c r="D69" s="253"/>
      <c r="E69" s="254"/>
      <c r="F69" s="253"/>
      <c r="G69" s="253"/>
      <c r="H69" s="18"/>
      <c r="I69" s="18"/>
      <c r="J69" s="18"/>
      <c r="K69" s="18"/>
      <c r="L69" s="18"/>
    </row>
    <row r="70" spans="1:12" ht="15" customHeight="1">
      <c r="A70" s="27" t="s">
        <v>114</v>
      </c>
      <c r="B70" s="253"/>
      <c r="C70" s="253"/>
      <c r="D70" s="253"/>
      <c r="E70" s="254"/>
      <c r="F70" s="253"/>
      <c r="G70" s="253"/>
      <c r="H70" s="18"/>
      <c r="I70" s="18"/>
      <c r="J70" s="18"/>
      <c r="K70" s="18"/>
      <c r="L70" s="18"/>
    </row>
    <row r="71" spans="1:12" ht="15" customHeight="1" thickBot="1">
      <c r="A71" s="27" t="s">
        <v>115</v>
      </c>
      <c r="B71" s="230"/>
      <c r="C71" s="230"/>
      <c r="D71" s="230"/>
      <c r="E71" s="231"/>
      <c r="F71" s="230"/>
      <c r="G71" s="230"/>
      <c r="H71" s="18"/>
      <c r="I71" s="18"/>
      <c r="J71" s="18"/>
      <c r="K71" s="18"/>
      <c r="L71" s="18"/>
    </row>
    <row r="72" spans="1:12" ht="15" customHeight="1">
      <c r="A72" s="108" t="s">
        <v>140</v>
      </c>
      <c r="B72" s="253"/>
      <c r="C72" s="253"/>
      <c r="D72" s="253"/>
      <c r="E72" s="254"/>
      <c r="F72" s="253"/>
      <c r="G72" s="253"/>
      <c r="H72" s="18"/>
      <c r="I72" s="18"/>
      <c r="J72" s="18"/>
      <c r="K72" s="18"/>
      <c r="L72" s="18"/>
    </row>
    <row r="73" spans="1:12" ht="15" customHeight="1">
      <c r="A73" s="27" t="s">
        <v>113</v>
      </c>
      <c r="B73" s="253"/>
      <c r="C73" s="253"/>
      <c r="D73" s="253"/>
      <c r="E73" s="254"/>
      <c r="F73" s="253"/>
      <c r="G73" s="253"/>
      <c r="H73" s="18"/>
      <c r="I73" s="18"/>
      <c r="J73" s="18"/>
      <c r="K73" s="18"/>
      <c r="L73" s="18"/>
    </row>
    <row r="74" spans="1:12" ht="15" customHeight="1">
      <c r="A74" s="27" t="s">
        <v>114</v>
      </c>
      <c r="B74" s="253"/>
      <c r="C74" s="253"/>
      <c r="D74" s="253"/>
      <c r="E74" s="254"/>
      <c r="F74" s="253"/>
      <c r="G74" s="253"/>
      <c r="H74" s="18"/>
      <c r="I74" s="18"/>
      <c r="J74" s="18"/>
      <c r="K74" s="18"/>
      <c r="L74" s="18"/>
    </row>
    <row r="75" spans="1:12" ht="15" customHeight="1" thickBot="1">
      <c r="A75" s="27" t="s">
        <v>115</v>
      </c>
      <c r="B75" s="230"/>
      <c r="C75" s="230"/>
      <c r="D75" s="230"/>
      <c r="E75" s="231"/>
      <c r="F75" s="230"/>
      <c r="G75" s="230"/>
      <c r="H75" s="18"/>
      <c r="I75" s="18"/>
      <c r="J75" s="18"/>
      <c r="K75" s="18"/>
      <c r="L75" s="18"/>
    </row>
    <row r="76" spans="1:12" s="16" customFormat="1" ht="15" customHeight="1" thickBot="1">
      <c r="A76" s="130"/>
      <c r="B76" s="131"/>
      <c r="C76" s="132"/>
      <c r="D76" s="132" t="s">
        <v>66</v>
      </c>
      <c r="E76" s="131"/>
      <c r="F76" s="131"/>
      <c r="G76" s="131"/>
      <c r="H76" s="133"/>
      <c r="I76" s="23"/>
      <c r="J76" s="23"/>
      <c r="K76" s="23"/>
      <c r="L76" s="23"/>
    </row>
    <row r="77" spans="1:12" s="16" customFormat="1" ht="15" customHeight="1" thickBot="1">
      <c r="A77" s="100" t="s">
        <v>75</v>
      </c>
      <c r="B77" s="106" t="s">
        <v>17</v>
      </c>
      <c r="C77" s="101" t="s">
        <v>67</v>
      </c>
      <c r="D77" s="101" t="s">
        <v>68</v>
      </c>
      <c r="E77" s="101" t="s">
        <v>69</v>
      </c>
      <c r="F77" s="101" t="s">
        <v>70</v>
      </c>
      <c r="G77" s="104" t="s">
        <v>71</v>
      </c>
      <c r="H77" s="23"/>
      <c r="I77" s="23"/>
      <c r="J77" s="23"/>
      <c r="K77" s="23"/>
      <c r="L77" s="23"/>
    </row>
    <row r="78" spans="1:12" s="16" customFormat="1" ht="15" customHeight="1">
      <c r="A78" s="57" t="s">
        <v>72</v>
      </c>
      <c r="B78" s="105">
        <v>180</v>
      </c>
      <c r="C78" s="183">
        <v>0.7</v>
      </c>
      <c r="D78" s="184">
        <v>0.75</v>
      </c>
      <c r="E78" s="184">
        <v>0.75</v>
      </c>
      <c r="F78" s="184">
        <v>0.75</v>
      </c>
      <c r="G78" s="185">
        <v>0.75</v>
      </c>
      <c r="H78" s="23"/>
      <c r="I78" s="23"/>
      <c r="J78" s="23"/>
      <c r="K78" s="23"/>
      <c r="L78" s="23"/>
    </row>
    <row r="79" spans="1:12" s="16" customFormat="1" ht="15" customHeight="1">
      <c r="A79" s="58" t="s">
        <v>171</v>
      </c>
      <c r="B79" s="102">
        <v>11</v>
      </c>
      <c r="C79" s="186">
        <v>0.7</v>
      </c>
      <c r="D79" s="187">
        <v>0.75</v>
      </c>
      <c r="E79" s="187">
        <v>0.75</v>
      </c>
      <c r="F79" s="187">
        <v>0.75</v>
      </c>
      <c r="G79" s="188">
        <v>0.75</v>
      </c>
      <c r="H79" s="23"/>
      <c r="I79" s="23"/>
      <c r="J79" s="23"/>
      <c r="K79" s="23"/>
      <c r="L79" s="23"/>
    </row>
    <row r="80" spans="1:12" s="16" customFormat="1" ht="15" customHeight="1" thickBot="1">
      <c r="A80" s="59" t="s">
        <v>172</v>
      </c>
      <c r="B80" s="103">
        <v>33</v>
      </c>
      <c r="C80" s="189">
        <v>1</v>
      </c>
      <c r="D80" s="190">
        <v>1</v>
      </c>
      <c r="E80" s="190">
        <v>1</v>
      </c>
      <c r="F80" s="190">
        <v>1</v>
      </c>
      <c r="G80" s="191">
        <v>1</v>
      </c>
      <c r="H80" s="23"/>
      <c r="I80" s="23"/>
      <c r="J80" s="23"/>
      <c r="K80" s="23"/>
      <c r="L80" s="23"/>
    </row>
    <row r="81" spans="1:12" ht="15" customHeight="1" thickBot="1">
      <c r="A81" s="31" t="s">
        <v>124</v>
      </c>
      <c r="B81" s="29" t="s">
        <v>17</v>
      </c>
      <c r="C81" s="30" t="s">
        <v>29</v>
      </c>
      <c r="D81" s="11"/>
      <c r="E81" s="11"/>
      <c r="F81" s="11"/>
      <c r="G81" s="11"/>
      <c r="H81" s="18"/>
      <c r="I81" s="18"/>
      <c r="J81" s="18"/>
      <c r="K81" s="18"/>
      <c r="L81" s="18"/>
    </row>
    <row r="82" spans="1:12" ht="15" customHeight="1">
      <c r="A82" s="26" t="s">
        <v>27</v>
      </c>
      <c r="B82" s="40">
        <v>2</v>
      </c>
      <c r="C82" s="41">
        <v>5.2</v>
      </c>
      <c r="D82" s="11"/>
      <c r="E82" s="11"/>
      <c r="F82" s="11"/>
      <c r="G82" s="11"/>
      <c r="H82" s="18"/>
      <c r="I82" s="18"/>
      <c r="J82" s="18"/>
      <c r="K82" s="18"/>
      <c r="L82" s="18"/>
    </row>
    <row r="83" spans="1:12" ht="15" customHeight="1" thickBot="1">
      <c r="A83" s="134" t="s">
        <v>28</v>
      </c>
      <c r="B83" s="138">
        <v>65</v>
      </c>
      <c r="C83" s="139">
        <v>78</v>
      </c>
      <c r="D83" s="11"/>
      <c r="E83" s="11"/>
      <c r="F83" s="11"/>
      <c r="G83" s="11"/>
      <c r="H83" s="18"/>
      <c r="I83" s="18"/>
      <c r="J83" s="18"/>
      <c r="K83" s="18"/>
      <c r="L83" s="18"/>
    </row>
    <row r="84" spans="1:12" s="115" customFormat="1" ht="15" customHeight="1">
      <c r="A84" s="140"/>
      <c r="B84" s="141"/>
      <c r="C84" s="141"/>
      <c r="H84" s="143"/>
      <c r="I84" s="143"/>
      <c r="J84" s="143"/>
      <c r="K84" s="143"/>
      <c r="L84" s="143"/>
    </row>
    <row r="85" spans="1:12" s="115" customFormat="1" ht="15" customHeight="1" thickBot="1">
      <c r="A85" s="116" t="s">
        <v>128</v>
      </c>
      <c r="B85" s="115">
        <f aca="true" t="shared" si="0" ref="B85:G85">B20*B10+B22*B15</f>
        <v>360</v>
      </c>
      <c r="C85" s="115">
        <f t="shared" si="0"/>
        <v>360</v>
      </c>
      <c r="D85" s="115">
        <f t="shared" si="0"/>
        <v>7200</v>
      </c>
      <c r="E85" s="115">
        <f t="shared" si="0"/>
        <v>864</v>
      </c>
      <c r="F85" s="115">
        <f t="shared" si="0"/>
        <v>1800</v>
      </c>
      <c r="G85" s="115">
        <f t="shared" si="0"/>
        <v>1800</v>
      </c>
      <c r="H85" s="143"/>
      <c r="I85" s="143"/>
      <c r="J85" s="143"/>
      <c r="K85" s="143"/>
      <c r="L85" s="143"/>
    </row>
    <row r="86" spans="1:12" ht="15" customHeight="1" thickBot="1">
      <c r="A86" s="31" t="s">
        <v>125</v>
      </c>
      <c r="B86" s="137"/>
      <c r="C86" s="137"/>
      <c r="D86" s="137"/>
      <c r="E86" s="137"/>
      <c r="F86" s="137"/>
      <c r="G86" s="137"/>
      <c r="H86" s="18"/>
      <c r="I86" s="18"/>
      <c r="J86" s="18"/>
      <c r="K86" s="18"/>
      <c r="L86" s="18"/>
    </row>
    <row r="87" spans="1:12" ht="15" customHeight="1">
      <c r="A87" s="57" t="s">
        <v>31</v>
      </c>
      <c r="B87" s="205">
        <f>Land!$B$78</f>
        <v>180</v>
      </c>
      <c r="C87" s="205">
        <f>Land!$B$78</f>
        <v>180</v>
      </c>
      <c r="D87" s="205">
        <f>Land!$B$78</f>
        <v>180</v>
      </c>
      <c r="E87" s="205">
        <f>IF(OutPut!$B$13=1,Land!$C$78*Land!$B$78,IF(OutPut!$B$13=2,Land!$D$78*Land!$B$78,IF(OutPut!$B$13=3,Land!$E$78*Land!$B$78,Land!$F$78*Land!$B$78)))</f>
        <v>125.99999999999999</v>
      </c>
      <c r="F87" s="205">
        <f>IF(OutPut!$B$13=1,Land!$C$78*Land!$B$78,IF(OutPut!$B$13=2,Land!$D$78*Land!$B$78,IF(OutPut!$B$13=3,Land!$E$78*Land!$B$78,Land!$F$78*Land!$B$78)))</f>
        <v>125.99999999999999</v>
      </c>
      <c r="G87" s="206">
        <f>IF(OutPut!$B$13=1,Land!$C$78*Land!$B$78,IF(OutPut!$B$13=2,Land!$D$78*Land!$B$78,IF(OutPut!$B$13=3,Land!$E$78*Land!$B$78,Land!$F$78*Land!$B$78)))</f>
        <v>125.99999999999999</v>
      </c>
      <c r="H87" s="18"/>
      <c r="I87" s="18"/>
      <c r="J87" s="18"/>
      <c r="K87" s="18"/>
      <c r="L87" s="18"/>
    </row>
    <row r="88" spans="1:12" ht="15" customHeight="1">
      <c r="A88" s="58" t="s">
        <v>30</v>
      </c>
      <c r="B88" s="207">
        <f>Land!$B$79</f>
        <v>11</v>
      </c>
      <c r="C88" s="207">
        <f>Land!$B$79</f>
        <v>11</v>
      </c>
      <c r="D88" s="207">
        <f>Land!$B$79</f>
        <v>11</v>
      </c>
      <c r="E88" s="208">
        <f>IF(OutPut!$B$13=1,Land!$C$79*Land!$B$79,IF(OutPut!$B$13=2,Land!$D$78*Land!$B$79,IF(OutPut!$B$13=3,Land!$E$79*Land!$B$79,Land!$F$79*Land!$B$79)))</f>
        <v>7.699999999999999</v>
      </c>
      <c r="F88" s="208">
        <f>IF(OutPut!$B$13=1,Land!$C$79*Land!$B$79,IF(OutPut!$B$13=2,Land!$D$78*Land!$B$79,IF(OutPut!$B$13=3,Land!$E$79*Land!$B$79,Land!$F$79*Land!$B$79)))</f>
        <v>7.699999999999999</v>
      </c>
      <c r="G88" s="208">
        <f>IF(OutPut!$B$13=1,Land!$C$79*Land!$B$79,IF(OutPut!$B$13=2,Land!$D$78*Land!$B$79,IF(OutPut!$B$13=3,Land!$E$79*Land!$B$79,Land!$F$79*Land!$B$79)))</f>
        <v>7.699999999999999</v>
      </c>
      <c r="H88" s="18"/>
      <c r="I88" s="18"/>
      <c r="J88" s="18"/>
      <c r="K88" s="18"/>
      <c r="L88" s="18"/>
    </row>
    <row r="89" spans="1:12" ht="15" customHeight="1" thickBot="1">
      <c r="A89" s="107" t="s">
        <v>32</v>
      </c>
      <c r="B89" s="209">
        <f>Land!$B$80</f>
        <v>33</v>
      </c>
      <c r="C89" s="209">
        <f>Land!$B$80</f>
        <v>33</v>
      </c>
      <c r="D89" s="209">
        <f>Land!$B$80</f>
        <v>33</v>
      </c>
      <c r="E89" s="210">
        <f>IF(OutPut!$B$13=1,Land!$C$80*Land!$B$80,IF(OutPut!$B$13=2,Land!$D$80*Land!$B$80,IF(OutPut!$B$13=3,Land!$E$80*Land!$B$80,Land!$F$80*Land!$B$80)))</f>
        <v>33</v>
      </c>
      <c r="F89" s="210">
        <f>IF(OutPut!$B$13=1,Land!$C$80*Land!$B$80,IF(OutPut!$B$13=2,Land!$D$80*Land!$B$80,IF(OutPut!$B$13=3,Land!$E$80*Land!$B$80,Land!$F$80*Land!$B$80)))</f>
        <v>33</v>
      </c>
      <c r="G89" s="210">
        <f>IF(OutPut!$B$13=1,Land!$C$80*Land!$B$80,IF(OutPut!$B$13=2,Land!$D$80*Land!$B$80,IF(OutPut!$B$13=3,Land!$E$80*Land!$B$80,Land!$F$80*Land!$B$80)))</f>
        <v>33</v>
      </c>
      <c r="H89" s="18"/>
      <c r="I89" s="18"/>
      <c r="J89" s="18"/>
      <c r="K89" s="18"/>
      <c r="L89" s="18"/>
    </row>
    <row r="90" spans="1:12" ht="15" customHeight="1">
      <c r="A90" s="35" t="s">
        <v>42</v>
      </c>
      <c r="B90" s="37">
        <f>(Cattle!B$24+Cattle!B$20)/B87*(1+Cattle!B$28)</f>
        <v>452.693</v>
      </c>
      <c r="C90" s="37">
        <f>(Cattle!C$24+Cattle!C$20)/C87*(1+Cattle!C$28)</f>
        <v>399.56800000000004</v>
      </c>
      <c r="D90" s="37">
        <f>(Cattle!D$24+Cattle!D$20)/D87*(1+Cattle!D$28)</f>
        <v>0</v>
      </c>
      <c r="E90" s="37">
        <f>(Cattle!E$24+Cattle!E$20)/E87*(1+Cattle!E$28)</f>
        <v>569.1923809523811</v>
      </c>
      <c r="F90" s="37">
        <f>(Cattle!F$24+Cattle!F$20)/F87*(1+Cattle!F$28)</f>
        <v>142.29809523809527</v>
      </c>
      <c r="G90" s="37">
        <f>(Cattle!G$24+Cattle!G$20)/G87*(1+Cattle!G$28)</f>
        <v>0</v>
      </c>
      <c r="H90" s="18"/>
      <c r="I90" s="18"/>
      <c r="J90" s="18"/>
      <c r="K90" s="18"/>
      <c r="L90" s="18"/>
    </row>
    <row r="91" spans="1:12" ht="15" customHeight="1">
      <c r="A91" s="35" t="s">
        <v>43</v>
      </c>
      <c r="B91" s="38">
        <f>(Cattle!B$25+Cattle!B$21)/B88*(1+Cattle!B$29)</f>
        <v>87.05909090909091</v>
      </c>
      <c r="C91" s="38">
        <f>(Cattle!C$25+Cattle!C$21)/C88*(1+Cattle!C$29)</f>
        <v>80.25</v>
      </c>
      <c r="D91" s="38">
        <f>(Cattle!D$25+Cattle!D$21)/D88*(1+Cattle!D$29)</f>
        <v>92.89545454545454</v>
      </c>
      <c r="E91" s="38">
        <f>(Cattle!E$25+Cattle!E$21)/E88*(1+Cattle!E$29)</f>
        <v>156.33116883116887</v>
      </c>
      <c r="F91" s="38">
        <f>(Cattle!F$25+Cattle!F$21)/F88*(1+Cattle!F$29)</f>
        <v>114.22597402597404</v>
      </c>
      <c r="G91" s="38">
        <f>(Cattle!G$25+Cattle!G$21)/G88*(1+Cattle!G$29)</f>
        <v>132.70779220779224</v>
      </c>
      <c r="H91" s="18"/>
      <c r="I91" s="18"/>
      <c r="J91" s="18"/>
      <c r="K91" s="18"/>
      <c r="L91" s="18"/>
    </row>
    <row r="92" spans="1:12" ht="15" customHeight="1" thickBot="1">
      <c r="A92" s="36" t="s">
        <v>44</v>
      </c>
      <c r="B92" s="39">
        <f>(Cattle!B$26+Cattle!B$22)/B89*(1+Cattle!B$30)</f>
        <v>121.63030303030301</v>
      </c>
      <c r="C92" s="39">
        <f>(Cattle!C$26+Cattle!C$22)/C89*(1+Cattle!C$30)</f>
        <v>121.63030303030301</v>
      </c>
      <c r="D92" s="39">
        <f>(Cattle!D$26+Cattle!D$22)/D89*(1+Cattle!D$30)</f>
        <v>338.5030303030303</v>
      </c>
      <c r="E92" s="39">
        <f>(Cattle!E$26+Cattle!E$22)/E89*(1+Cattle!E$30)</f>
        <v>121.63030303030301</v>
      </c>
      <c r="F92" s="39">
        <f>(Cattle!F$26+Cattle!F$22)/F89*(1+Cattle!F$30)</f>
        <v>257.17575757575753</v>
      </c>
      <c r="G92" s="39">
        <f>(Cattle!G$26+Cattle!G$22)/G89*(1+Cattle!G$30)</f>
        <v>338.5030303030303</v>
      </c>
      <c r="H92" s="18"/>
      <c r="I92" s="18"/>
      <c r="J92" s="18"/>
      <c r="K92" s="18"/>
      <c r="L92" s="18"/>
    </row>
    <row r="93" spans="1:12" ht="15" customHeight="1">
      <c r="A93" s="136" t="s">
        <v>126</v>
      </c>
      <c r="B93" s="142">
        <f>(B$6-B90)*B87*$B$82+(B$8-B91)*B88*$B$83</f>
        <v>8408.270000000002</v>
      </c>
      <c r="C93" s="142">
        <f>(C$6-C90)*C87*$B$82+(C$8-C91)*C88*$B$83</f>
        <v>32401.769999999982</v>
      </c>
      <c r="D93" s="142">
        <f>(D$6-D90)*D87*$B$82+(D$8-D91)*D88*$B$83</f>
        <v>112579.75</v>
      </c>
      <c r="E93" s="142">
        <f>IF(OutPut!$B$13&lt;4,(E$6-E90)*E87*$B$82+(E$8-E91)*E88*$B$83,(E$6-E90)*E87*$C$82+(E$8-E91)*E88*$C$83)</f>
        <v>67857.26999999995</v>
      </c>
      <c r="F93" s="142">
        <f>IF(OutPut!$B$13&lt;4,(F$6-F90)*F87*$B$82+(F$8-F91)*F88*$B$83,(F$6-F90)*F87*$C$82+(F$8-F91)*F88*$C$83)</f>
        <v>32270.779999999977</v>
      </c>
      <c r="G93" s="142">
        <f>IF(OutPut!$B$13&lt;4,(G$6-G90)*G87*$B$82+(G$8-G91)*G88*$B$83,(G$6-G90)*G87*$C$82+(G$8-G91)*G88*$C$83)</f>
        <v>58879.749999999985</v>
      </c>
      <c r="H93" s="18"/>
      <c r="I93" s="18"/>
      <c r="J93" s="18"/>
      <c r="K93" s="18"/>
      <c r="L93" s="18"/>
    </row>
    <row r="94" spans="1:12" ht="15" customHeight="1" thickBot="1">
      <c r="A94" s="136" t="s">
        <v>127</v>
      </c>
      <c r="B94" s="142">
        <f aca="true" t="shared" si="1" ref="B94:G94">(B$6-B$90)*B$18+(B$8-B$91)*B$19</f>
        <v>8697.937181818186</v>
      </c>
      <c r="C94" s="142">
        <f t="shared" si="1"/>
        <v>21111.24399999999</v>
      </c>
      <c r="D94" s="142">
        <f t="shared" si="1"/>
        <v>35623.59090909091</v>
      </c>
      <c r="E94" s="142">
        <f t="shared" si="1"/>
        <v>97128.85281385278</v>
      </c>
      <c r="F94" s="142">
        <f t="shared" si="1"/>
        <v>576.0995670995562</v>
      </c>
      <c r="G94" s="142">
        <f t="shared" si="1"/>
        <v>33747.98701298701</v>
      </c>
      <c r="H94" s="18"/>
      <c r="I94" s="18"/>
      <c r="J94" s="18"/>
      <c r="K94" s="18"/>
      <c r="L94" s="18"/>
    </row>
    <row r="95" spans="1:12" ht="15" customHeight="1" thickBot="1">
      <c r="A95" s="31" t="s">
        <v>129</v>
      </c>
      <c r="B95" s="211"/>
      <c r="C95" s="211"/>
      <c r="D95" s="211"/>
      <c r="E95" s="211"/>
      <c r="F95" s="211"/>
      <c r="G95" s="211"/>
      <c r="H95" s="18"/>
      <c r="I95" s="18"/>
      <c r="J95" s="18"/>
      <c r="K95" s="18"/>
      <c r="L95" s="18"/>
    </row>
    <row r="96" spans="1:12" ht="15" customHeight="1">
      <c r="A96" s="57" t="s">
        <v>31</v>
      </c>
      <c r="B96" s="205">
        <f>Land!$B$78</f>
        <v>180</v>
      </c>
      <c r="C96" s="205">
        <f>Land!$B$78</f>
        <v>180</v>
      </c>
      <c r="D96" s="205">
        <f>Land!$B$78</f>
        <v>180</v>
      </c>
      <c r="E96" s="205">
        <f>IF(OutPut!$C$16=2,Land!$D$78*Land!$B$78,IF(OutPut!$C$16=3,Land!$E$78*Land!$B$78,Land!$F$78*Land!$B$78))</f>
        <v>135</v>
      </c>
      <c r="F96" s="205">
        <f>IF(OutPut!$C$16=2,Land!$D$78*Land!$B$78,IF(OutPut!$C$16=3,Land!$E$78*Land!$B$78,Land!$F$78*Land!$B$78))</f>
        <v>135</v>
      </c>
      <c r="G96" s="205">
        <f>IF(OutPut!$C$16=2,Land!$D$78*Land!$B$78,IF(OutPut!$C$16=3,Land!$E$78*Land!$B$78,Land!$F$78*Land!$B$78))</f>
        <v>135</v>
      </c>
      <c r="H96" s="18"/>
      <c r="I96" s="18"/>
      <c r="J96" s="18"/>
      <c r="K96" s="18"/>
      <c r="L96" s="18"/>
    </row>
    <row r="97" spans="1:12" ht="15" customHeight="1">
      <c r="A97" s="58" t="s">
        <v>30</v>
      </c>
      <c r="B97" s="207">
        <f>Land!$B$79</f>
        <v>11</v>
      </c>
      <c r="C97" s="207">
        <f>Land!$B$79</f>
        <v>11</v>
      </c>
      <c r="D97" s="207">
        <f>Land!$B$79</f>
        <v>11</v>
      </c>
      <c r="E97" s="208">
        <f>IF(OutPut!$C$16=2,Land!$D$78*Land!$B$79,IF(OutPut!$C$16=3,Land!$E$79*Land!$B$79,Land!$F$79*Land!$B$79))</f>
        <v>8.25</v>
      </c>
      <c r="F97" s="208">
        <f>IF(OutPut!$C$16=2,Land!$D$78*Land!$B$79,IF(OutPut!$C$16=3,Land!$E$79*Land!$B$79,Land!$F$79*Land!$B$79))</f>
        <v>8.25</v>
      </c>
      <c r="G97" s="208">
        <f>IF(OutPut!$C$16=2,Land!$D$78*Land!$B$79,IF(OutPut!$C$16=3,Land!$E$79*Land!$B$79,Land!$F$79*Land!$B$79))</f>
        <v>8.25</v>
      </c>
      <c r="H97" s="18"/>
      <c r="I97" s="18"/>
      <c r="J97" s="18"/>
      <c r="K97" s="18"/>
      <c r="L97" s="18"/>
    </row>
    <row r="98" spans="1:12" ht="15" customHeight="1" thickBot="1">
      <c r="A98" s="107" t="s">
        <v>32</v>
      </c>
      <c r="B98" s="209">
        <f>Land!$B$80</f>
        <v>33</v>
      </c>
      <c r="C98" s="209">
        <f>Land!$B$80</f>
        <v>33</v>
      </c>
      <c r="D98" s="209">
        <f>Land!$B$80</f>
        <v>33</v>
      </c>
      <c r="E98" s="210">
        <f>IF(OutPut!$C$16=2,Land!$D$80*Land!$B$80,IF(OutPut!$C$16=3,Land!$E$80*Land!$B$80,Land!$F$80*Land!$B$80))</f>
        <v>33</v>
      </c>
      <c r="F98" s="210">
        <f>IF(OutPut!$C$16=2,Land!$D$80*Land!$B$80,IF(OutPut!$C$16=3,Land!$E$80*Land!$B$80,Land!$F$80*Land!$B$80))</f>
        <v>33</v>
      </c>
      <c r="G98" s="210">
        <f>IF(OutPut!$C$16=2,Land!$D$80*Land!$B$80,IF(OutPut!$C$16=3,Land!$E$80*Land!$B$80,Land!$F$80*Land!$B$80))</f>
        <v>33</v>
      </c>
      <c r="H98" s="18"/>
      <c r="I98" s="18"/>
      <c r="J98" s="18"/>
      <c r="K98" s="18"/>
      <c r="L98" s="18"/>
    </row>
    <row r="99" spans="1:12" ht="15" customHeight="1">
      <c r="A99" s="35" t="s">
        <v>42</v>
      </c>
      <c r="B99" s="37">
        <f>(Cattle!B$24+Cattle!B$20)/B96*(1+Cattle!B$28)</f>
        <v>452.693</v>
      </c>
      <c r="C99" s="37">
        <f>(Cattle!C$24+Cattle!C$20)/C96*(1+Cattle!C$28)</f>
        <v>399.56800000000004</v>
      </c>
      <c r="D99" s="37">
        <f>(Cattle!D$24+Cattle!D$20)/D96*(1+Cattle!D$28)</f>
        <v>0</v>
      </c>
      <c r="E99" s="37">
        <f>(Cattle!E$24+Cattle!E$20)/E96*(1+Cattle!E$28)</f>
        <v>531.2462222222222</v>
      </c>
      <c r="F99" s="37">
        <f>(Cattle!F$24+Cattle!F$20)/F96*(1+Cattle!F$28)</f>
        <v>132.81155555555554</v>
      </c>
      <c r="G99" s="37">
        <f>(Cattle!G$24+Cattle!G$20)/G96*(1+Cattle!G$28)</f>
        <v>0</v>
      </c>
      <c r="H99" s="18"/>
      <c r="I99" s="18"/>
      <c r="J99" s="18"/>
      <c r="K99" s="18"/>
      <c r="L99" s="18"/>
    </row>
    <row r="100" spans="1:12" ht="15" customHeight="1">
      <c r="A100" s="35" t="s">
        <v>43</v>
      </c>
      <c r="B100" s="38">
        <f>(Cattle!B$25+Cattle!B$21)/B97*(1+Cattle!B$29)</f>
        <v>87.05909090909091</v>
      </c>
      <c r="C100" s="38">
        <f>(Cattle!C$25+Cattle!C$21)/C97*(1+Cattle!C$29)</f>
        <v>80.25</v>
      </c>
      <c r="D100" s="38">
        <f>(Cattle!D$25+Cattle!D$21)/D97*(1+Cattle!D$29)</f>
        <v>92.89545454545454</v>
      </c>
      <c r="E100" s="38">
        <f>(Cattle!E$25+Cattle!E$21)/E97*(1+Cattle!E$29)</f>
        <v>145.90909090909093</v>
      </c>
      <c r="F100" s="38">
        <f>(Cattle!F$25+Cattle!F$21)/F97*(1+Cattle!F$29)</f>
        <v>106.6109090909091</v>
      </c>
      <c r="G100" s="38">
        <f>(Cattle!G$25+Cattle!G$21)/G97*(1+Cattle!G$29)</f>
        <v>123.86060606060606</v>
      </c>
      <c r="H100" s="18"/>
      <c r="I100" s="18"/>
      <c r="J100" s="18"/>
      <c r="K100" s="18"/>
      <c r="L100" s="18"/>
    </row>
    <row r="101" spans="1:12" ht="15" customHeight="1" thickBot="1">
      <c r="A101" s="36" t="s">
        <v>44</v>
      </c>
      <c r="B101" s="39">
        <f>(Cattle!B$26+Cattle!B$22)/B98*(1+Cattle!B$30)</f>
        <v>121.63030303030301</v>
      </c>
      <c r="C101" s="39">
        <f>(Cattle!C$26+Cattle!C$22)/C98*(1+Cattle!C$30)</f>
        <v>121.63030303030301</v>
      </c>
      <c r="D101" s="39">
        <f>(Cattle!D$26+Cattle!D$22)/D98*(1+Cattle!D$30)</f>
        <v>338.5030303030303</v>
      </c>
      <c r="E101" s="39">
        <f>(Cattle!E$26+Cattle!E$22)/E98*(1+Cattle!E$30)</f>
        <v>121.63030303030301</v>
      </c>
      <c r="F101" s="39">
        <f>(Cattle!F$26+Cattle!F$22)/F98*(1+Cattle!F$30)</f>
        <v>257.17575757575753</v>
      </c>
      <c r="G101" s="39">
        <f>(Cattle!G$26+Cattle!G$22)/G98*(1+Cattle!G$30)</f>
        <v>338.5030303030303</v>
      </c>
      <c r="H101" s="18"/>
      <c r="I101" s="18"/>
      <c r="J101" s="18"/>
      <c r="K101" s="18"/>
      <c r="L101" s="18"/>
    </row>
    <row r="102" spans="1:12" ht="15" customHeight="1">
      <c r="A102" s="136" t="s">
        <v>126</v>
      </c>
      <c r="B102" s="142">
        <f>(B$6-B99)*B96*$B$82+(B$8-B100)*B97*$B$83</f>
        <v>8408.270000000002</v>
      </c>
      <c r="C102" s="142">
        <f>(C$6-C99)*C96*$B$82+(C$8-C100)*C97*$B$83</f>
        <v>32401.769999999982</v>
      </c>
      <c r="D102" s="142">
        <f>(D$6-D99)*D96*$B$82+(D$8-D100)*D97*$B$83</f>
        <v>112579.75</v>
      </c>
      <c r="E102" s="142">
        <f>IF(OutPut!C16&lt;4,(E$6-E99)*E96*$B$82+(E$8-E100)*E97*$B$83,(E$6-E99)*E96*$C$82+(E$8-E100)*E97*$C$83)</f>
        <v>88538.52</v>
      </c>
      <c r="F102" s="142">
        <f>IF(OutPut!C16&lt;4,(F$6-F99)*F96*$B$82+(F$8-F100)*F97*$B$83,(F$6-F99)*F96*$C$82+(F$8-F100)*F97*$C$83)</f>
        <v>41220.78</v>
      </c>
      <c r="G102" s="142">
        <f>IF(OutPut!C16&lt;4,(G$6-G99)*G96*$B$82+(G$8-G100)*G97*$B$83,(G$6-G99)*G96*$C$82+(G$8-G100)*G97*$C$83)</f>
        <v>67829.75</v>
      </c>
      <c r="H102" s="18"/>
      <c r="I102" s="18"/>
      <c r="J102" s="18"/>
      <c r="K102" s="18"/>
      <c r="L102" s="18"/>
    </row>
    <row r="103" spans="1:12" ht="15" customHeight="1" thickBot="1">
      <c r="A103" s="136" t="s">
        <v>127</v>
      </c>
      <c r="B103" s="142">
        <f aca="true" t="shared" si="2" ref="B103:G103">(B$6-B$90)*B$18+(B$8-B$91)*B$19</f>
        <v>8697.937181818186</v>
      </c>
      <c r="C103" s="142">
        <f t="shared" si="2"/>
        <v>21111.24399999999</v>
      </c>
      <c r="D103" s="142">
        <f t="shared" si="2"/>
        <v>35623.59090909091</v>
      </c>
      <c r="E103" s="142">
        <f t="shared" si="2"/>
        <v>97128.85281385278</v>
      </c>
      <c r="F103" s="142">
        <f t="shared" si="2"/>
        <v>576.0995670995562</v>
      </c>
      <c r="G103" s="142">
        <f t="shared" si="2"/>
        <v>33747.98701298701</v>
      </c>
      <c r="H103" s="18"/>
      <c r="I103" s="18"/>
      <c r="J103" s="18"/>
      <c r="K103" s="18"/>
      <c r="L103" s="18"/>
    </row>
    <row r="104" spans="1:12" ht="15" customHeight="1" thickBot="1">
      <c r="A104" s="31" t="s">
        <v>132</v>
      </c>
      <c r="B104" s="211"/>
      <c r="C104" s="211"/>
      <c r="D104" s="211"/>
      <c r="E104" s="211"/>
      <c r="F104" s="211"/>
      <c r="G104" s="211"/>
      <c r="H104" s="18"/>
      <c r="I104" s="18"/>
      <c r="J104" s="18"/>
      <c r="K104" s="18"/>
      <c r="L104" s="18"/>
    </row>
    <row r="105" spans="1:12" ht="15" customHeight="1">
      <c r="A105" s="57" t="s">
        <v>31</v>
      </c>
      <c r="B105" s="205">
        <f>Land!$B$78</f>
        <v>180</v>
      </c>
      <c r="C105" s="205">
        <f>Land!$B$78</f>
        <v>180</v>
      </c>
      <c r="D105" s="205">
        <f>Land!$B$78</f>
        <v>180</v>
      </c>
      <c r="E105" s="205">
        <f>IF(OutPut!$D$16=2,Land!$D$78*Land!$B$78,IF(OutPut!$D$16=3,Land!$E$78*Land!$B$78,Land!$F$78*Land!$B$78))</f>
        <v>135</v>
      </c>
      <c r="F105" s="205">
        <f>IF(OutPut!$D$16=2,Land!$D$78*Land!$B$78,IF(OutPut!$D$16=3,Land!$E$78*Land!$B$78,Land!$F$78*Land!$B$78))</f>
        <v>135</v>
      </c>
      <c r="G105" s="205">
        <f>IF(OutPut!$D$16=2,Land!$D$78*Land!$B$78,IF(OutPut!$D$16=3,Land!$E$78*Land!$B$78,Land!$F$78*Land!$B$78))</f>
        <v>135</v>
      </c>
      <c r="H105" s="18"/>
      <c r="I105" s="18"/>
      <c r="J105" s="18"/>
      <c r="K105" s="18"/>
      <c r="L105" s="18"/>
    </row>
    <row r="106" spans="1:12" ht="15" customHeight="1">
      <c r="A106" s="58" t="s">
        <v>30</v>
      </c>
      <c r="B106" s="207">
        <f>Land!$B$79</f>
        <v>11</v>
      </c>
      <c r="C106" s="207">
        <f>Land!$B$79</f>
        <v>11</v>
      </c>
      <c r="D106" s="207">
        <f>Land!$B$79</f>
        <v>11</v>
      </c>
      <c r="E106" s="208">
        <f>IF(OutPut!$D$16=2,Land!$D$78*Land!$B$79,IF(OutPut!$D$16=3,Land!$E$79*Land!$B$79,Land!$F$79*Land!$B$79))</f>
        <v>8.25</v>
      </c>
      <c r="F106" s="208">
        <f>IF(OutPut!$D$16=2,Land!$D$78*Land!$B$79,IF(OutPut!$D$16=3,Land!$E$79*Land!$B$79,Land!$F$79*Land!$B$79))</f>
        <v>8.25</v>
      </c>
      <c r="G106" s="208">
        <f>IF(OutPut!$D$16=2,Land!$D$78*Land!$B$79,IF(OutPut!$D$16=3,Land!$E$79*Land!$B$79,Land!$F$79*Land!$B$79))</f>
        <v>8.25</v>
      </c>
      <c r="H106" s="18"/>
      <c r="I106" s="18"/>
      <c r="J106" s="18"/>
      <c r="K106" s="18"/>
      <c r="L106" s="18"/>
    </row>
    <row r="107" spans="1:12" ht="15" customHeight="1" thickBot="1">
      <c r="A107" s="107" t="s">
        <v>32</v>
      </c>
      <c r="B107" s="209">
        <f>Land!$B$80</f>
        <v>33</v>
      </c>
      <c r="C107" s="209">
        <f>Land!$B$80</f>
        <v>33</v>
      </c>
      <c r="D107" s="209">
        <f>Land!$B$80</f>
        <v>33</v>
      </c>
      <c r="E107" s="210">
        <f>IF(OutPut!$D$16=2,Land!$D$80*Land!$B$80,IF(OutPut!$D$16=3,Land!$E$80*Land!$B$80,Land!$F$80*Land!$B$80))</f>
        <v>33</v>
      </c>
      <c r="F107" s="210">
        <f>IF(OutPut!$D$16=2,Land!$D$80*Land!$B$80,IF(OutPut!$D$16=3,Land!$E$80*Land!$B$80,Land!$F$80*Land!$B$80))</f>
        <v>33</v>
      </c>
      <c r="G107" s="210">
        <f>IF(OutPut!$D$16=2,Land!$D$80*Land!$B$80,IF(OutPut!$D$16=3,Land!$E$80*Land!$B$80,Land!$F$80*Land!$B$80))</f>
        <v>33</v>
      </c>
      <c r="H107" s="18"/>
      <c r="I107" s="18"/>
      <c r="J107" s="18"/>
      <c r="K107" s="18"/>
      <c r="L107" s="18"/>
    </row>
    <row r="108" spans="1:12" ht="15" customHeight="1">
      <c r="A108" s="35" t="s">
        <v>42</v>
      </c>
      <c r="B108" s="37">
        <f>(Cattle!B$24+Cattle!B$20)/B105*(1+Cattle!B$28)</f>
        <v>452.693</v>
      </c>
      <c r="C108" s="37">
        <f>(Cattle!C$24+Cattle!C$20)/C105*(1+Cattle!C$28)</f>
        <v>399.56800000000004</v>
      </c>
      <c r="D108" s="37">
        <f>(Cattle!D$24+Cattle!D$20)/D105*(1+Cattle!D$28)</f>
        <v>0</v>
      </c>
      <c r="E108" s="37">
        <f>(Cattle!E$24+Cattle!E$20)/E105*(1+Cattle!E$28)</f>
        <v>531.2462222222222</v>
      </c>
      <c r="F108" s="37">
        <f>(Cattle!F$24+Cattle!F$20)/F105*(1+Cattle!F$28)</f>
        <v>132.81155555555554</v>
      </c>
      <c r="G108" s="37">
        <f>(Cattle!G$24+Cattle!G$20)/G105*(1+Cattle!G$28)</f>
        <v>0</v>
      </c>
      <c r="H108" s="18"/>
      <c r="I108" s="18"/>
      <c r="J108" s="18"/>
      <c r="K108" s="18"/>
      <c r="L108" s="18"/>
    </row>
    <row r="109" spans="1:12" ht="15" customHeight="1">
      <c r="A109" s="35" t="s">
        <v>43</v>
      </c>
      <c r="B109" s="38">
        <f>(Cattle!B$25+Cattle!B$21)/B106*(1+Cattle!B$29)</f>
        <v>87.05909090909091</v>
      </c>
      <c r="C109" s="38">
        <f>(Cattle!C$25+Cattle!C$21)/C106*(1+Cattle!C$29)</f>
        <v>80.25</v>
      </c>
      <c r="D109" s="38">
        <f>(Cattle!D$25+Cattle!D$21)/D106*(1+Cattle!D$29)</f>
        <v>92.89545454545454</v>
      </c>
      <c r="E109" s="38">
        <f>(Cattle!E$25+Cattle!E$21)/E106*(1+Cattle!E$29)</f>
        <v>145.90909090909093</v>
      </c>
      <c r="F109" s="38">
        <f>(Cattle!F$25+Cattle!F$21)/F106*(1+Cattle!F$29)</f>
        <v>106.6109090909091</v>
      </c>
      <c r="G109" s="38">
        <f>(Cattle!G$25+Cattle!G$21)/G106*(1+Cattle!G$29)</f>
        <v>123.86060606060606</v>
      </c>
      <c r="H109" s="18"/>
      <c r="I109" s="18"/>
      <c r="J109" s="18"/>
      <c r="K109" s="18"/>
      <c r="L109" s="18"/>
    </row>
    <row r="110" spans="1:12" ht="15" customHeight="1" thickBot="1">
      <c r="A110" s="36" t="s">
        <v>44</v>
      </c>
      <c r="B110" s="39">
        <f>(Cattle!B$26+Cattle!B$22)/B107*(1+Cattle!B$30)</f>
        <v>121.63030303030301</v>
      </c>
      <c r="C110" s="39">
        <f>(Cattle!C$26+Cattle!C$22)/C107*(1+Cattle!C$30)</f>
        <v>121.63030303030301</v>
      </c>
      <c r="D110" s="39">
        <f>(Cattle!D$26+Cattle!D$22)/D107*(1+Cattle!D$30)</f>
        <v>338.5030303030303</v>
      </c>
      <c r="E110" s="39">
        <f>(Cattle!E$26+Cattle!E$22)/E107*(1+Cattle!E$30)</f>
        <v>121.63030303030301</v>
      </c>
      <c r="F110" s="39">
        <f>(Cattle!F$26+Cattle!F$22)/F107*(1+Cattle!F$30)</f>
        <v>257.17575757575753</v>
      </c>
      <c r="G110" s="39">
        <f>(Cattle!G$26+Cattle!G$22)/G107*(1+Cattle!G$30)</f>
        <v>338.5030303030303</v>
      </c>
      <c r="H110" s="18"/>
      <c r="I110" s="18"/>
      <c r="J110" s="18"/>
      <c r="K110" s="18"/>
      <c r="L110" s="18"/>
    </row>
    <row r="111" spans="1:12" ht="15" customHeight="1">
      <c r="A111" s="136" t="s">
        <v>126</v>
      </c>
      <c r="B111" s="142">
        <f>(B$6-B108)*B105*$B$82+(B$8-B109)*B106*$B$83</f>
        <v>8408.270000000002</v>
      </c>
      <c r="C111" s="142">
        <f>(C$6-C108)*C105*$B$82+(C$8-C109)*C106*$B$83</f>
        <v>32401.769999999982</v>
      </c>
      <c r="D111" s="142">
        <f>(D$6-D108)*D105*$B$82+(D$8-D109)*D106*$B$83</f>
        <v>112579.75</v>
      </c>
      <c r="E111" s="142">
        <f>IF(OutPut!D16&lt;4,(E$6-E108)*E105*$B$82+(E$8-E109)*E106*$B$83,(E$6-E108)*E105*$C$82+(E$8-E109)*E106*$C$83)</f>
        <v>88538.52</v>
      </c>
      <c r="F111" s="142">
        <f>IF(OutPut!D16&lt;4,(F$6-F108)*F105*$B$82+(F$8-F109)*F106*$B$83,(F$6-F108)*F105*$C$82+(F$8-F109)*F106*$C$83)</f>
        <v>41220.78</v>
      </c>
      <c r="G111" s="142">
        <f>IF(OutPut!D16&lt;4,(G$6-G108)*G105*$B$82+(G$8-G109)*G106*$B$83,(G$6-G108)*G105*$C$82+(G$8-G109)*G106*$C$83)</f>
        <v>67829.75</v>
      </c>
      <c r="H111" s="18"/>
      <c r="I111" s="18"/>
      <c r="J111" s="18"/>
      <c r="K111" s="18"/>
      <c r="L111" s="18"/>
    </row>
    <row r="112" spans="1:12" ht="15" customHeight="1" thickBot="1">
      <c r="A112" s="136" t="s">
        <v>127</v>
      </c>
      <c r="B112" s="142">
        <f aca="true" t="shared" si="3" ref="B112:G112">(B$6-B$90)*B$18+(B$8-B$91)*B$19</f>
        <v>8697.937181818186</v>
      </c>
      <c r="C112" s="142">
        <f t="shared" si="3"/>
        <v>21111.24399999999</v>
      </c>
      <c r="D112" s="142">
        <f t="shared" si="3"/>
        <v>35623.59090909091</v>
      </c>
      <c r="E112" s="142">
        <f t="shared" si="3"/>
        <v>97128.85281385278</v>
      </c>
      <c r="F112" s="142">
        <f t="shared" si="3"/>
        <v>576.0995670995562</v>
      </c>
      <c r="G112" s="142">
        <f t="shared" si="3"/>
        <v>33747.98701298701</v>
      </c>
      <c r="H112" s="18"/>
      <c r="I112" s="18"/>
      <c r="J112" s="18"/>
      <c r="K112" s="18"/>
      <c r="L112" s="18"/>
    </row>
    <row r="113" spans="1:12" ht="15" customHeight="1" thickBot="1">
      <c r="A113" s="31" t="s">
        <v>131</v>
      </c>
      <c r="B113" s="211"/>
      <c r="C113" s="211"/>
      <c r="D113" s="211"/>
      <c r="E113" s="211"/>
      <c r="F113" s="211"/>
      <c r="G113" s="211"/>
      <c r="H113" s="18"/>
      <c r="I113" s="18"/>
      <c r="J113" s="18"/>
      <c r="K113" s="18"/>
      <c r="L113" s="18"/>
    </row>
    <row r="114" spans="1:12" ht="15" customHeight="1">
      <c r="A114" s="57" t="s">
        <v>31</v>
      </c>
      <c r="B114" s="205">
        <f>Land!$B$78</f>
        <v>180</v>
      </c>
      <c r="C114" s="205">
        <f>Land!$B$78</f>
        <v>180</v>
      </c>
      <c r="D114" s="205">
        <f>Land!$B$78</f>
        <v>180</v>
      </c>
      <c r="E114" s="205">
        <f>IF(OutPut!$E$16=2,Land!$D$78*Land!$B$78,IF(OutPut!$E$16=3,Land!$E$78*Land!$B$78,Land!$F$78*Land!$B$78))</f>
        <v>135</v>
      </c>
      <c r="F114" s="205">
        <f>IF(OutPut!$E$16=2,Land!$D$78*Land!$B$78,IF(OutPut!$E$16=3,Land!$E$78*Land!$B$78,Land!$F$78*Land!$B$78))</f>
        <v>135</v>
      </c>
      <c r="G114" s="205">
        <f>IF(OutPut!$E$16=2,Land!$D$78*Land!$B$78,IF(OutPut!$E$16=3,Land!$E$78*Land!$B$78,Land!$F$78*Land!$B$78))</f>
        <v>135</v>
      </c>
      <c r="H114" s="18"/>
      <c r="I114" s="18"/>
      <c r="J114" s="18"/>
      <c r="K114" s="18"/>
      <c r="L114" s="18"/>
    </row>
    <row r="115" spans="1:12" ht="15" customHeight="1">
      <c r="A115" s="58" t="s">
        <v>30</v>
      </c>
      <c r="B115" s="207">
        <f>Land!$B$79</f>
        <v>11</v>
      </c>
      <c r="C115" s="207">
        <f>Land!$B$79</f>
        <v>11</v>
      </c>
      <c r="D115" s="207">
        <f>Land!$B$79</f>
        <v>11</v>
      </c>
      <c r="E115" s="208">
        <f>IF(OutPut!$E$16=2,Land!$D$78*Land!$B$79,IF(OutPut!$E$16=3,Land!$E$79*Land!$B$79,Land!$F$79*Land!$B$79))</f>
        <v>8.25</v>
      </c>
      <c r="F115" s="208">
        <f>IF(OutPut!$E$16=2,Land!$D$78*Land!$B$79,IF(OutPut!$E$16=3,Land!$E$79*Land!$B$79,Land!$F$79*Land!$B$79))</f>
        <v>8.25</v>
      </c>
      <c r="G115" s="208">
        <f>IF(OutPut!$E$16=2,Land!$D$78*Land!$B$79,IF(OutPut!$E$16=3,Land!$E$79*Land!$B$79,Land!$F$79*Land!$B$79))</f>
        <v>8.25</v>
      </c>
      <c r="H115" s="18"/>
      <c r="I115" s="18"/>
      <c r="J115" s="18"/>
      <c r="K115" s="18"/>
      <c r="L115" s="18"/>
    </row>
    <row r="116" spans="1:12" ht="15" customHeight="1" thickBot="1">
      <c r="A116" s="107" t="s">
        <v>32</v>
      </c>
      <c r="B116" s="209">
        <f>Land!$B$80</f>
        <v>33</v>
      </c>
      <c r="C116" s="209">
        <f>Land!$B$80</f>
        <v>33</v>
      </c>
      <c r="D116" s="209">
        <f>Land!$B$80</f>
        <v>33</v>
      </c>
      <c r="E116" s="210">
        <f>IF(OutPut!$E$16=2,Land!$D$80*Land!$B$80,IF(OutPut!$E$16=3,Land!$E$80*Land!$B$80,Land!$F$80*Land!$B$80))</f>
        <v>33</v>
      </c>
      <c r="F116" s="210">
        <f>IF(OutPut!$E$16=2,Land!$D$80*Land!$B$80,IF(OutPut!$E$16=3,Land!$E$80*Land!$B$80,Land!$F$80*Land!$B$80))</f>
        <v>33</v>
      </c>
      <c r="G116" s="210">
        <f>IF(OutPut!$E$16=2,Land!$D$80*Land!$B$80,IF(OutPut!$E$16=3,Land!$E$80*Land!$B$80,Land!$F$80*Land!$B$80))</f>
        <v>33</v>
      </c>
      <c r="H116" s="18"/>
      <c r="I116" s="18"/>
      <c r="J116" s="18"/>
      <c r="K116" s="18"/>
      <c r="L116" s="18"/>
    </row>
    <row r="117" spans="1:12" ht="15" customHeight="1">
      <c r="A117" s="35" t="s">
        <v>42</v>
      </c>
      <c r="B117" s="37">
        <f>(Cattle!B$24+Cattle!B$20)/B114*(1+Cattle!B$28)</f>
        <v>452.693</v>
      </c>
      <c r="C117" s="37">
        <f>(Cattle!C$24+Cattle!C$20)/C114*(1+Cattle!C$28)</f>
        <v>399.56800000000004</v>
      </c>
      <c r="D117" s="37">
        <f>(Cattle!D$24+Cattle!D$20)/D114*(1+Cattle!D$28)</f>
        <v>0</v>
      </c>
      <c r="E117" s="37">
        <f>(Cattle!E$24+Cattle!E$20)/E114*(1+Cattle!E$28)</f>
        <v>531.2462222222222</v>
      </c>
      <c r="F117" s="37">
        <f>(Cattle!F$24+Cattle!F$20)/F114*(1+Cattle!F$28)</f>
        <v>132.81155555555554</v>
      </c>
      <c r="G117" s="37">
        <f>(Cattle!G$24+Cattle!G$20)/G114*(1+Cattle!G$28)</f>
        <v>0</v>
      </c>
      <c r="H117" s="18"/>
      <c r="I117" s="18"/>
      <c r="J117" s="18"/>
      <c r="K117" s="18"/>
      <c r="L117" s="18"/>
    </row>
    <row r="118" spans="1:12" ht="15" customHeight="1">
      <c r="A118" s="35" t="s">
        <v>43</v>
      </c>
      <c r="B118" s="38">
        <f>(Cattle!B$25+Cattle!B$21)/B115*(1+Cattle!B$29)</f>
        <v>87.05909090909091</v>
      </c>
      <c r="C118" s="38">
        <f>(Cattle!C$25+Cattle!C$21)/C115*(1+Cattle!C$29)</f>
        <v>80.25</v>
      </c>
      <c r="D118" s="38">
        <f>(Cattle!D$25+Cattle!D$21)/D115*(1+Cattle!D$29)</f>
        <v>92.89545454545454</v>
      </c>
      <c r="E118" s="38">
        <f>(Cattle!E$25+Cattle!E$21)/E115*(1+Cattle!E$29)</f>
        <v>145.90909090909093</v>
      </c>
      <c r="F118" s="38">
        <f>(Cattle!F$25+Cattle!F$21)/F115*(1+Cattle!F$29)</f>
        <v>106.6109090909091</v>
      </c>
      <c r="G118" s="38">
        <f>(Cattle!G$25+Cattle!G$21)/G115*(1+Cattle!G$29)</f>
        <v>123.86060606060606</v>
      </c>
      <c r="H118" s="18"/>
      <c r="I118" s="18"/>
      <c r="J118" s="18"/>
      <c r="K118" s="18"/>
      <c r="L118" s="18"/>
    </row>
    <row r="119" spans="1:12" ht="15" customHeight="1" thickBot="1">
      <c r="A119" s="36" t="s">
        <v>44</v>
      </c>
      <c r="B119" s="39">
        <f>(Cattle!B$26+Cattle!B$22)/B116*(1+Cattle!B$30)</f>
        <v>121.63030303030301</v>
      </c>
      <c r="C119" s="39">
        <f>(Cattle!C$26+Cattle!C$22)/C116*(1+Cattle!C$30)</f>
        <v>121.63030303030301</v>
      </c>
      <c r="D119" s="39">
        <f>(Cattle!D$26+Cattle!D$22)/D116*(1+Cattle!D$30)</f>
        <v>338.5030303030303</v>
      </c>
      <c r="E119" s="39">
        <f>(Cattle!E$26+Cattle!E$22)/E116*(1+Cattle!E$30)</f>
        <v>121.63030303030301</v>
      </c>
      <c r="F119" s="39">
        <f>(Cattle!F$26+Cattle!F$22)/F116*(1+Cattle!F$30)</f>
        <v>257.17575757575753</v>
      </c>
      <c r="G119" s="39">
        <f>(Cattle!G$26+Cattle!G$22)/G116*(1+Cattle!G$30)</f>
        <v>338.5030303030303</v>
      </c>
      <c r="H119" s="18"/>
      <c r="I119" s="18"/>
      <c r="J119" s="18"/>
      <c r="K119" s="18"/>
      <c r="L119" s="18"/>
    </row>
    <row r="120" spans="1:12" ht="15" customHeight="1">
      <c r="A120" s="136" t="s">
        <v>126</v>
      </c>
      <c r="B120" s="142">
        <f>(B$6-B117)*B114*$B$82+(B$8-B118)*B115*$B$83</f>
        <v>8408.270000000002</v>
      </c>
      <c r="C120" s="142">
        <f>(C$6-C117)*C114*$B$82+(C$8-C118)*C115*$B$83</f>
        <v>32401.769999999982</v>
      </c>
      <c r="D120" s="142">
        <f>(D$6-D117)*D114*$B$82+(D$8-D118)*D115*$B$83</f>
        <v>112579.75</v>
      </c>
      <c r="E120" s="142">
        <f>IF(OutPut!E16&lt;4,(E$6-E117)*E114*$B$82+(E$8-E118)*E115*$B$83,(E$6-E117)*E114*$C$82+(E$8-E118)*E115*$C$83)</f>
        <v>283435.15200000006</v>
      </c>
      <c r="F120" s="142">
        <f>IF(OutPut!E16&lt;4,(F$6-F117)*F114*$B$82+(F$8-F118)*F115*$B$83,(F$6-F117)*F114*$C$82+(F$8-F118)*F115*$C$83)</f>
        <v>37062.168000000005</v>
      </c>
      <c r="G120" s="142">
        <f>IF(OutPut!E16&lt;4,(G$6-G117)*G114*$B$82+(G$8-G118)*G115*$B$83,(G$6-G117)*G114*$C$82+(G$8-G118)*G115*$C$83)</f>
        <v>119195.7</v>
      </c>
      <c r="H120" s="18"/>
      <c r="I120" s="18"/>
      <c r="J120" s="18"/>
      <c r="K120" s="18"/>
      <c r="L120" s="18"/>
    </row>
    <row r="121" spans="1:12" ht="15" customHeight="1" thickBot="1">
      <c r="A121" s="136" t="s">
        <v>127</v>
      </c>
      <c r="B121" s="142">
        <f aca="true" t="shared" si="4" ref="B121:G121">(B$6-B$90)*B$18+(B$8-B$91)*B$19</f>
        <v>8697.937181818186</v>
      </c>
      <c r="C121" s="142">
        <f t="shared" si="4"/>
        <v>21111.24399999999</v>
      </c>
      <c r="D121" s="142">
        <f t="shared" si="4"/>
        <v>35623.59090909091</v>
      </c>
      <c r="E121" s="142">
        <f t="shared" si="4"/>
        <v>97128.85281385278</v>
      </c>
      <c r="F121" s="142">
        <f t="shared" si="4"/>
        <v>576.0995670995562</v>
      </c>
      <c r="G121" s="142">
        <f t="shared" si="4"/>
        <v>33747.98701298701</v>
      </c>
      <c r="H121" s="18"/>
      <c r="I121" s="18"/>
      <c r="J121" s="18"/>
      <c r="K121" s="18"/>
      <c r="L121" s="18"/>
    </row>
    <row r="122" spans="1:12" ht="15" customHeight="1" thickBot="1">
      <c r="A122" s="31" t="s">
        <v>130</v>
      </c>
      <c r="B122" s="211"/>
      <c r="C122" s="211"/>
      <c r="D122" s="211"/>
      <c r="E122" s="211"/>
      <c r="F122" s="211"/>
      <c r="G122" s="211"/>
      <c r="H122" s="18"/>
      <c r="I122" s="18"/>
      <c r="J122" s="18"/>
      <c r="K122" s="18"/>
      <c r="L122" s="18"/>
    </row>
    <row r="123" spans="1:12" ht="15" customHeight="1">
      <c r="A123" s="57" t="s">
        <v>31</v>
      </c>
      <c r="B123" s="205">
        <f>Land!$B$78</f>
        <v>180</v>
      </c>
      <c r="C123" s="205">
        <f>Land!$B$78</f>
        <v>180</v>
      </c>
      <c r="D123" s="205">
        <f>Land!$B$78</f>
        <v>180</v>
      </c>
      <c r="E123" s="206">
        <f>IF(OutPut!$F$16=2,Land!$D$78*Land!$B$78,IF(OutPut!$F$16=3,Land!$E$78*Land!$B$78,Land!$F$78*Land!$B$78))</f>
        <v>135</v>
      </c>
      <c r="F123" s="206">
        <f>IF(OutPut!$F$16=2,Land!$D$78*Land!$B$78,IF(OutPut!$F$16=3,Land!$E$78*Land!$B$78,Land!$F$78*Land!$B$78))</f>
        <v>135</v>
      </c>
      <c r="G123" s="206">
        <f>IF(OutPut!$F$16=2,Land!$D$78*Land!$B$78,IF(OutPut!$F$16=3,Land!$E$78*Land!$B$78,Land!$F$78*Land!$B$78))</f>
        <v>135</v>
      </c>
      <c r="H123" s="18"/>
      <c r="I123" s="18"/>
      <c r="J123" s="18"/>
      <c r="K123" s="18"/>
      <c r="L123" s="18"/>
    </row>
    <row r="124" spans="1:12" ht="15" customHeight="1">
      <c r="A124" s="58" t="s">
        <v>30</v>
      </c>
      <c r="B124" s="207">
        <f>Land!$B$79</f>
        <v>11</v>
      </c>
      <c r="C124" s="207">
        <f>Land!$B$79</f>
        <v>11</v>
      </c>
      <c r="D124" s="207">
        <f>Land!$B$79</f>
        <v>11</v>
      </c>
      <c r="E124" s="208">
        <f>IF(OutPut!$F$16=2,Land!$D$78*Land!$B$79,IF(OutPut!$F$16=3,Land!$E$79*Land!$B$79,Land!$F$79*Land!$B$79))</f>
        <v>8.25</v>
      </c>
      <c r="F124" s="208">
        <f>IF(OutPut!$F$16=2,Land!$D$78*Land!$B$79,IF(OutPut!$F$16=3,Land!$E$79*Land!$B$79,Land!$F$79*Land!$B$79))</f>
        <v>8.25</v>
      </c>
      <c r="G124" s="208">
        <f>IF(OutPut!$F$16=2,Land!$D$78*Land!$B$79,IF(OutPut!$F$16=3,Land!$E$79*Land!$B$79,Land!$F$79*Land!$B$79))</f>
        <v>8.25</v>
      </c>
      <c r="H124" s="18"/>
      <c r="I124" s="18"/>
      <c r="J124" s="18"/>
      <c r="K124" s="18"/>
      <c r="L124" s="18"/>
    </row>
    <row r="125" spans="1:12" ht="15" customHeight="1" thickBot="1">
      <c r="A125" s="107" t="s">
        <v>32</v>
      </c>
      <c r="B125" s="209">
        <f>Land!$B$80</f>
        <v>33</v>
      </c>
      <c r="C125" s="209">
        <f>Land!$B$80</f>
        <v>33</v>
      </c>
      <c r="D125" s="209">
        <f>Land!$B$80</f>
        <v>33</v>
      </c>
      <c r="E125" s="210">
        <f>IF(OutPut!$F$16=2,Land!$D$80*Land!$B$80,IF(OutPut!$F$16=3,Land!$E$80*Land!$B$80,Land!$F$80*Land!$B$80))</f>
        <v>33</v>
      </c>
      <c r="F125" s="210">
        <f>IF(OutPut!$F$16=2,Land!$D$80*Land!$B$80,IF(OutPut!$F$16=3,Land!$E$80*Land!$B$80,Land!$F$80*Land!$B$80))</f>
        <v>33</v>
      </c>
      <c r="G125" s="210">
        <f>IF(OutPut!$F$16=2,Land!$D$80*Land!$B$80,IF(OutPut!$F$16=3,Land!$E$80*Land!$B$80,Land!$F$80*Land!$B$80))</f>
        <v>33</v>
      </c>
      <c r="H125" s="18"/>
      <c r="I125" s="18"/>
      <c r="J125" s="18"/>
      <c r="K125" s="18"/>
      <c r="L125" s="18"/>
    </row>
    <row r="126" spans="1:12" ht="15" customHeight="1">
      <c r="A126" s="35" t="s">
        <v>42</v>
      </c>
      <c r="B126" s="37">
        <f>(Cattle!B$24+Cattle!B$20)/B123*(1+Cattle!B$28)</f>
        <v>452.693</v>
      </c>
      <c r="C126" s="37">
        <f>(Cattle!C$24+Cattle!C$20)/C123*(1+Cattle!C$28)</f>
        <v>399.56800000000004</v>
      </c>
      <c r="D126" s="37">
        <f>(Cattle!D$24+Cattle!D$20)/D123*(1+Cattle!D$28)</f>
        <v>0</v>
      </c>
      <c r="E126" s="37">
        <f>(Cattle!E$24+Cattle!E$20)/E123*(1+Cattle!E$28)</f>
        <v>531.2462222222222</v>
      </c>
      <c r="F126" s="37">
        <f>(Cattle!F$24+Cattle!F$20)/F123*(1+Cattle!F$28)</f>
        <v>132.81155555555554</v>
      </c>
      <c r="G126" s="37">
        <f>(Cattle!G$24+Cattle!G$20)/G123*(1+Cattle!G$28)</f>
        <v>0</v>
      </c>
      <c r="H126" s="18"/>
      <c r="I126" s="18"/>
      <c r="J126" s="18"/>
      <c r="K126" s="18"/>
      <c r="L126" s="18"/>
    </row>
    <row r="127" spans="1:12" ht="15" customHeight="1">
      <c r="A127" s="35" t="s">
        <v>43</v>
      </c>
      <c r="B127" s="38">
        <f>(Cattle!B$25+Cattle!B$21)/B124*(1+Cattle!B$29)</f>
        <v>87.05909090909091</v>
      </c>
      <c r="C127" s="38">
        <f>(Cattle!C$25+Cattle!C$21)/C124*(1+Cattle!C$29)</f>
        <v>80.25</v>
      </c>
      <c r="D127" s="38">
        <f>(Cattle!D$25+Cattle!D$21)/D124*(1+Cattle!D$29)</f>
        <v>92.89545454545454</v>
      </c>
      <c r="E127" s="38">
        <f>(Cattle!E$25+Cattle!E$21)/E124*(1+Cattle!E$29)</f>
        <v>145.90909090909093</v>
      </c>
      <c r="F127" s="38">
        <f>(Cattle!F$25+Cattle!F$21)/F124*(1+Cattle!F$29)</f>
        <v>106.6109090909091</v>
      </c>
      <c r="G127" s="38">
        <f>(Cattle!G$25+Cattle!G$21)/G124*(1+Cattle!G$29)</f>
        <v>123.86060606060606</v>
      </c>
      <c r="H127" s="18"/>
      <c r="I127" s="18"/>
      <c r="J127" s="18"/>
      <c r="K127" s="18"/>
      <c r="L127" s="18"/>
    </row>
    <row r="128" spans="1:12" ht="15" customHeight="1" thickBot="1">
      <c r="A128" s="36" t="s">
        <v>44</v>
      </c>
      <c r="B128" s="39">
        <f>(Cattle!B$26+Cattle!B$22)/B125*(1+Cattle!B$30)</f>
        <v>121.63030303030301</v>
      </c>
      <c r="C128" s="39">
        <f>(Cattle!C$26+Cattle!C$22)/C125*(1+Cattle!C$30)</f>
        <v>121.63030303030301</v>
      </c>
      <c r="D128" s="39">
        <f>(Cattle!D$26+Cattle!D$22)/D125*(1+Cattle!D$30)</f>
        <v>338.5030303030303</v>
      </c>
      <c r="E128" s="39">
        <f>(Cattle!E$26+Cattle!E$22)/E125*(1+Cattle!E$30)</f>
        <v>121.63030303030301</v>
      </c>
      <c r="F128" s="39">
        <f>(Cattle!F$26+Cattle!F$22)/F125*(1+Cattle!F$30)</f>
        <v>257.17575757575753</v>
      </c>
      <c r="G128" s="39">
        <f>(Cattle!G$26+Cattle!G$22)/G125*(1+Cattle!G$30)</f>
        <v>338.5030303030303</v>
      </c>
      <c r="H128" s="18"/>
      <c r="I128" s="18"/>
      <c r="J128" s="18"/>
      <c r="K128" s="18"/>
      <c r="L128" s="18"/>
    </row>
    <row r="129" spans="1:12" ht="15" customHeight="1">
      <c r="A129" s="136" t="s">
        <v>126</v>
      </c>
      <c r="B129" s="142">
        <f>(B$6-B126)*B123*$B$82+(B$8-B127)*B124*$B$83</f>
        <v>8408.270000000002</v>
      </c>
      <c r="C129" s="142">
        <f>(C$6-C126)*C123*$B$82+(C$8-C127)*C124*$B$83</f>
        <v>32401.769999999982</v>
      </c>
      <c r="D129" s="142">
        <f>(D$6-D126)*D123*$B$82+(D$8-D127)*D124*$B$83</f>
        <v>112579.75</v>
      </c>
      <c r="E129" s="142">
        <f>IF(OutPut!F16&lt;4,(E$6-E126)*E123*$B$82+(E$8-E127)*E124*$B$83,(E$6-E126)*E123*$C$82+(E$8-E127)*E124*$C$83)</f>
        <v>283435.15200000006</v>
      </c>
      <c r="F129" s="142">
        <f>IF(OutPut!F16&lt;4,(F$6-F126)*F123*$B$82+(F$8-F127)*F124*$B$83,(F$6-F126)*F123*$C$82+(F$8-F127)*F124*$C$83)</f>
        <v>37062.168000000005</v>
      </c>
      <c r="G129" s="142">
        <f>IF(OutPut!F16&lt;4,(G$6-G126)*G123*$B$82+(G$8-G127)*G124*$B$83,(G$6-G126)*G123*$C$82+(G$8-G127)*G124*$C$83)</f>
        <v>119195.7</v>
      </c>
      <c r="H129" s="18"/>
      <c r="I129" s="18"/>
      <c r="J129" s="18"/>
      <c r="K129" s="18"/>
      <c r="L129" s="18"/>
    </row>
    <row r="130" spans="1:12" ht="15" customHeight="1">
      <c r="A130" s="136" t="s">
        <v>127</v>
      </c>
      <c r="B130" s="142">
        <f aca="true" t="shared" si="5" ref="B130:G130">(B$6-B$90)*B$18+(B$8-B$91)*B$19</f>
        <v>8697.937181818186</v>
      </c>
      <c r="C130" s="142">
        <f t="shared" si="5"/>
        <v>21111.24399999999</v>
      </c>
      <c r="D130" s="142">
        <f t="shared" si="5"/>
        <v>35623.59090909091</v>
      </c>
      <c r="E130" s="142">
        <f t="shared" si="5"/>
        <v>97128.85281385278</v>
      </c>
      <c r="F130" s="142">
        <f t="shared" si="5"/>
        <v>576.0995670995562</v>
      </c>
      <c r="G130" s="142">
        <f t="shared" si="5"/>
        <v>33747.98701298701</v>
      </c>
      <c r="H130" s="18"/>
      <c r="I130" s="18"/>
      <c r="J130" s="18"/>
      <c r="K130" s="18"/>
      <c r="L130" s="18"/>
    </row>
    <row r="131" spans="1:12" ht="49.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49.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49.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49.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49.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49.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spans="1:7" ht="12.75">
      <c r="A143" s="9"/>
      <c r="B143" s="256"/>
      <c r="C143" s="256"/>
      <c r="D143" s="256" t="s">
        <v>7</v>
      </c>
      <c r="E143" s="256" t="s">
        <v>15</v>
      </c>
      <c r="F143" s="256" t="s">
        <v>15</v>
      </c>
      <c r="G143" s="256" t="s">
        <v>15</v>
      </c>
    </row>
    <row r="144" spans="1:7" ht="13.5" thickBot="1">
      <c r="A144" s="9" t="s">
        <v>14</v>
      </c>
      <c r="B144" s="257" t="s">
        <v>17</v>
      </c>
      <c r="C144" s="257" t="s">
        <v>7</v>
      </c>
      <c r="D144" s="257" t="s">
        <v>19</v>
      </c>
      <c r="E144" s="257" t="s">
        <v>20</v>
      </c>
      <c r="F144" s="257" t="s">
        <v>18</v>
      </c>
      <c r="G144" s="257" t="s">
        <v>19</v>
      </c>
    </row>
    <row r="145" spans="1:7" ht="12.75">
      <c r="A145" t="s">
        <v>0</v>
      </c>
      <c r="B145" s="255">
        <f>B6</f>
        <v>500</v>
      </c>
      <c r="C145" s="255">
        <f>C6</f>
        <v>500</v>
      </c>
      <c r="D145" s="255">
        <f>D6</f>
        <v>100</v>
      </c>
      <c r="E145" s="255">
        <f>E6</f>
        <v>1000</v>
      </c>
      <c r="F145" s="255">
        <f>F6</f>
        <v>100</v>
      </c>
      <c r="G145" s="255">
        <f>G6</f>
        <v>100</v>
      </c>
    </row>
    <row r="146" spans="1:7" ht="12.75">
      <c r="A146" t="s">
        <v>2</v>
      </c>
      <c r="B146" s="255">
        <f>B8</f>
        <v>75</v>
      </c>
      <c r="C146" s="255">
        <f>C8</f>
        <v>75</v>
      </c>
      <c r="D146" s="255">
        <f>D8</f>
        <v>200</v>
      </c>
      <c r="E146" s="255">
        <f>E8</f>
        <v>75</v>
      </c>
      <c r="F146" s="255">
        <f>F8</f>
        <v>200</v>
      </c>
      <c r="G146" s="255">
        <f>G8</f>
        <v>200</v>
      </c>
    </row>
    <row r="147" spans="1:7" ht="12.75">
      <c r="A147" t="s">
        <v>1</v>
      </c>
      <c r="B147" s="255">
        <f>B10</f>
        <v>5</v>
      </c>
      <c r="C147" s="255">
        <f>C10</f>
        <v>5</v>
      </c>
      <c r="D147" s="255">
        <f>D10</f>
        <v>100</v>
      </c>
      <c r="E147" s="255">
        <f>E10</f>
        <v>12</v>
      </c>
      <c r="F147" s="255">
        <f>F10</f>
        <v>25</v>
      </c>
      <c r="G147" s="255">
        <f>G10</f>
        <v>25</v>
      </c>
    </row>
    <row r="148" spans="1:7" ht="12.75">
      <c r="A148" t="s">
        <v>33</v>
      </c>
      <c r="B148" s="255">
        <f>B12</f>
        <v>1000</v>
      </c>
      <c r="C148" s="255">
        <f>C12</f>
        <v>1000</v>
      </c>
      <c r="D148" s="255">
        <f>D12</f>
        <v>1000</v>
      </c>
      <c r="E148" s="255">
        <f>E12</f>
        <v>1000</v>
      </c>
      <c r="F148" s="255">
        <f>F12</f>
        <v>1000</v>
      </c>
      <c r="G148" s="255">
        <f>G12</f>
        <v>1000</v>
      </c>
    </row>
    <row r="149" spans="1:7" ht="12.75">
      <c r="A149" t="s">
        <v>35</v>
      </c>
      <c r="B149" s="255">
        <f aca="true" t="shared" si="6" ref="B148:G151">B14</f>
        <v>0</v>
      </c>
      <c r="C149" s="255">
        <f t="shared" si="6"/>
        <v>0</v>
      </c>
      <c r="D149" s="255">
        <f t="shared" si="6"/>
        <v>0</v>
      </c>
      <c r="E149" s="255">
        <f t="shared" si="6"/>
        <v>0</v>
      </c>
      <c r="F149" s="255">
        <f t="shared" si="6"/>
        <v>0</v>
      </c>
      <c r="G149" s="255">
        <f t="shared" si="6"/>
        <v>0</v>
      </c>
    </row>
    <row r="150" spans="1:7" ht="12.75">
      <c r="A150" t="s">
        <v>34</v>
      </c>
      <c r="B150" s="255">
        <f t="shared" si="6"/>
        <v>0</v>
      </c>
      <c r="C150" s="255">
        <f t="shared" si="6"/>
        <v>0</v>
      </c>
      <c r="D150" s="255">
        <f t="shared" si="6"/>
        <v>0</v>
      </c>
      <c r="E150" s="255">
        <f t="shared" si="6"/>
        <v>0</v>
      </c>
      <c r="F150" s="255">
        <f t="shared" si="6"/>
        <v>0</v>
      </c>
      <c r="G150" s="255">
        <f t="shared" si="6"/>
        <v>0</v>
      </c>
    </row>
    <row r="151" spans="1:7" ht="12.75">
      <c r="A151" t="s">
        <v>36</v>
      </c>
      <c r="B151" s="255">
        <f t="shared" si="6"/>
        <v>0</v>
      </c>
      <c r="C151" s="255">
        <f t="shared" si="6"/>
        <v>0</v>
      </c>
      <c r="D151" s="255">
        <f t="shared" si="6"/>
        <v>0</v>
      </c>
      <c r="E151" s="255">
        <f t="shared" si="6"/>
        <v>0</v>
      </c>
      <c r="F151" s="255">
        <f t="shared" si="6"/>
        <v>0</v>
      </c>
      <c r="G151" s="255">
        <f t="shared" si="6"/>
        <v>0</v>
      </c>
    </row>
    <row r="152" spans="1:7" ht="12.75">
      <c r="A152" s="260" t="s">
        <v>40</v>
      </c>
      <c r="B152" s="258"/>
      <c r="C152" s="258"/>
      <c r="D152" s="258"/>
      <c r="E152" s="258"/>
      <c r="F152" s="258"/>
      <c r="G152" s="259"/>
    </row>
    <row r="153" spans="1:7" ht="12.75">
      <c r="A153" t="s">
        <v>12</v>
      </c>
      <c r="B153" s="255">
        <f aca="true" t="shared" si="7" ref="B153:G160">B18</f>
        <v>217</v>
      </c>
      <c r="C153" s="255">
        <f t="shared" si="7"/>
        <v>217</v>
      </c>
      <c r="D153" s="255">
        <f t="shared" si="7"/>
        <v>217</v>
      </c>
      <c r="E153" s="255">
        <f t="shared" si="7"/>
        <v>250</v>
      </c>
      <c r="F153" s="255">
        <f t="shared" si="7"/>
        <v>250</v>
      </c>
      <c r="G153" s="255">
        <f t="shared" si="7"/>
        <v>250</v>
      </c>
    </row>
    <row r="154" spans="1:7" ht="12.75">
      <c r="A154" t="s">
        <v>41</v>
      </c>
      <c r="B154" s="255">
        <f t="shared" si="7"/>
        <v>130</v>
      </c>
      <c r="C154" s="255">
        <f t="shared" si="7"/>
        <v>130</v>
      </c>
      <c r="D154" s="255">
        <f t="shared" si="7"/>
        <v>130</v>
      </c>
      <c r="E154" s="255">
        <f t="shared" si="7"/>
        <v>130</v>
      </c>
      <c r="F154" s="255">
        <f t="shared" si="7"/>
        <v>130</v>
      </c>
      <c r="G154" s="255">
        <f t="shared" si="7"/>
        <v>130</v>
      </c>
    </row>
    <row r="155" spans="1:7" ht="12.75">
      <c r="A155" t="s">
        <v>13</v>
      </c>
      <c r="B155" s="255">
        <f t="shared" si="7"/>
        <v>72</v>
      </c>
      <c r="C155" s="255">
        <f t="shared" si="7"/>
        <v>72</v>
      </c>
      <c r="D155" s="255">
        <f t="shared" si="7"/>
        <v>72</v>
      </c>
      <c r="E155" s="255">
        <f t="shared" si="7"/>
        <v>72</v>
      </c>
      <c r="F155" s="255">
        <f t="shared" si="7"/>
        <v>72</v>
      </c>
      <c r="G155" s="255">
        <f t="shared" si="7"/>
        <v>72</v>
      </c>
    </row>
    <row r="156" spans="1:7" ht="12.75">
      <c r="A156" t="s">
        <v>38</v>
      </c>
      <c r="B156" s="255">
        <f t="shared" si="7"/>
        <v>25</v>
      </c>
      <c r="C156" s="255">
        <f t="shared" si="7"/>
        <v>25</v>
      </c>
      <c r="D156" s="255">
        <f t="shared" si="7"/>
        <v>25</v>
      </c>
      <c r="E156" s="255">
        <f t="shared" si="7"/>
        <v>25</v>
      </c>
      <c r="F156" s="255">
        <f t="shared" si="7"/>
        <v>25</v>
      </c>
      <c r="G156" s="255">
        <f t="shared" si="7"/>
        <v>25</v>
      </c>
    </row>
    <row r="157" spans="1:7" ht="12.75">
      <c r="A157" t="s">
        <v>39</v>
      </c>
      <c r="B157" s="255">
        <f t="shared" si="7"/>
        <v>30</v>
      </c>
      <c r="C157" s="255">
        <f t="shared" si="7"/>
        <v>30</v>
      </c>
      <c r="D157" s="255">
        <f t="shared" si="7"/>
        <v>30</v>
      </c>
      <c r="E157" s="255">
        <f t="shared" si="7"/>
        <v>30</v>
      </c>
      <c r="F157" s="255">
        <f t="shared" si="7"/>
        <v>30</v>
      </c>
      <c r="G157" s="255">
        <f t="shared" si="7"/>
        <v>30</v>
      </c>
    </row>
    <row r="158" spans="1:7" ht="12.75">
      <c r="A158" t="s">
        <v>37</v>
      </c>
      <c r="B158" s="255">
        <f t="shared" si="7"/>
        <v>5</v>
      </c>
      <c r="C158" s="255">
        <f t="shared" si="7"/>
        <v>5</v>
      </c>
      <c r="D158" s="255">
        <f t="shared" si="7"/>
        <v>5</v>
      </c>
      <c r="E158" s="255">
        <f t="shared" si="7"/>
        <v>5</v>
      </c>
      <c r="F158" s="255">
        <f t="shared" si="7"/>
        <v>5</v>
      </c>
      <c r="G158" s="255">
        <f t="shared" si="7"/>
        <v>5</v>
      </c>
    </row>
    <row r="159" spans="1:7" ht="12.75">
      <c r="A159" t="str">
        <f>A24</f>
        <v>Other Costs on Land/Crops #1 - total $</v>
      </c>
      <c r="B159" s="255">
        <f t="shared" si="7"/>
        <v>0</v>
      </c>
      <c r="C159" s="255">
        <f t="shared" si="7"/>
        <v>0</v>
      </c>
      <c r="D159" s="255">
        <f t="shared" si="7"/>
        <v>0</v>
      </c>
      <c r="E159" s="255">
        <f t="shared" si="7"/>
        <v>0</v>
      </c>
      <c r="F159" s="255">
        <f t="shared" si="7"/>
        <v>0</v>
      </c>
      <c r="G159" s="255">
        <f t="shared" si="7"/>
        <v>0</v>
      </c>
    </row>
    <row r="160" spans="1:7" ht="12.75">
      <c r="A160" t="str">
        <f>A25</f>
        <v>Other Costs on Land/Crops #2 - total $</v>
      </c>
      <c r="B160" s="255">
        <f t="shared" si="7"/>
        <v>0</v>
      </c>
      <c r="C160" s="255">
        <f t="shared" si="7"/>
        <v>0</v>
      </c>
      <c r="D160" s="255">
        <f t="shared" si="7"/>
        <v>0</v>
      </c>
      <c r="E160" s="255">
        <f t="shared" si="7"/>
        <v>0</v>
      </c>
      <c r="F160" s="255">
        <f t="shared" si="7"/>
        <v>0</v>
      </c>
      <c r="G160" s="255">
        <f t="shared" si="7"/>
        <v>0</v>
      </c>
    </row>
    <row r="161" spans="1:7" ht="12.75">
      <c r="A161" s="260" t="s">
        <v>16</v>
      </c>
      <c r="B161" s="258"/>
      <c r="C161" s="258"/>
      <c r="D161" s="258"/>
      <c r="E161" s="258"/>
      <c r="F161" s="258"/>
      <c r="G161" s="259"/>
    </row>
    <row r="162" spans="1:7" ht="12.75">
      <c r="A162" t="s">
        <v>10</v>
      </c>
      <c r="B162" s="255">
        <f aca="true" t="shared" si="8" ref="B162:G168">B27</f>
        <v>360</v>
      </c>
      <c r="C162" s="255">
        <f t="shared" si="8"/>
        <v>360</v>
      </c>
      <c r="D162" s="255">
        <f t="shared" si="8"/>
        <v>360</v>
      </c>
      <c r="E162" s="255">
        <f t="shared" si="8"/>
        <v>251.99999999999997</v>
      </c>
      <c r="F162" s="255">
        <f t="shared" si="8"/>
        <v>251.99999999999997</v>
      </c>
      <c r="G162" s="255">
        <f t="shared" si="8"/>
        <v>251.99999999999997</v>
      </c>
    </row>
    <row r="163" spans="1:7" ht="12.75">
      <c r="A163" t="s">
        <v>11</v>
      </c>
      <c r="B163" s="255">
        <f t="shared" si="8"/>
        <v>715</v>
      </c>
      <c r="C163" s="255">
        <f t="shared" si="8"/>
        <v>715</v>
      </c>
      <c r="D163" s="255">
        <f t="shared" si="8"/>
        <v>715</v>
      </c>
      <c r="E163" s="255">
        <f t="shared" si="8"/>
        <v>500.49999999999994</v>
      </c>
      <c r="F163" s="255">
        <f t="shared" si="8"/>
        <v>500.49999999999994</v>
      </c>
      <c r="G163" s="255">
        <f t="shared" si="8"/>
        <v>500.49999999999994</v>
      </c>
    </row>
    <row r="164" spans="1:7" ht="12.75">
      <c r="A164" t="s">
        <v>121</v>
      </c>
      <c r="B164" s="255">
        <f t="shared" si="8"/>
        <v>140</v>
      </c>
      <c r="C164" s="255">
        <f t="shared" si="8"/>
        <v>140</v>
      </c>
      <c r="D164" s="255">
        <f t="shared" si="8"/>
        <v>140</v>
      </c>
      <c r="E164" s="255">
        <f t="shared" si="8"/>
        <v>160</v>
      </c>
      <c r="F164" s="255">
        <f t="shared" si="8"/>
        <v>160</v>
      </c>
      <c r="G164" s="255">
        <f t="shared" si="8"/>
        <v>160</v>
      </c>
    </row>
    <row r="165" spans="1:7" ht="12.75">
      <c r="A165" t="s">
        <v>122</v>
      </c>
      <c r="B165" s="255">
        <f t="shared" si="8"/>
        <v>45</v>
      </c>
      <c r="C165" s="255">
        <f t="shared" si="8"/>
        <v>45</v>
      </c>
      <c r="D165" s="255">
        <f t="shared" si="8"/>
        <v>45</v>
      </c>
      <c r="E165" s="255">
        <f t="shared" si="8"/>
        <v>50</v>
      </c>
      <c r="F165" s="255">
        <f t="shared" si="8"/>
        <v>50</v>
      </c>
      <c r="G165" s="255">
        <f t="shared" si="8"/>
        <v>50</v>
      </c>
    </row>
    <row r="166" spans="1:7" ht="12.75">
      <c r="A166" t="s">
        <v>123</v>
      </c>
      <c r="B166" s="255">
        <f t="shared" si="8"/>
        <v>10</v>
      </c>
      <c r="C166" s="255">
        <f t="shared" si="8"/>
        <v>10</v>
      </c>
      <c r="D166" s="255">
        <f t="shared" si="8"/>
        <v>10</v>
      </c>
      <c r="E166" s="255">
        <f t="shared" si="8"/>
        <v>10</v>
      </c>
      <c r="F166" s="255">
        <f t="shared" si="8"/>
        <v>10</v>
      </c>
      <c r="G166" s="255">
        <f t="shared" si="8"/>
        <v>10</v>
      </c>
    </row>
    <row r="167" spans="1:7" ht="12.75">
      <c r="A167" s="255" t="str">
        <f>A32</f>
        <v>Other Receits from Land #1 - total $</v>
      </c>
      <c r="B167" s="255">
        <f t="shared" si="8"/>
        <v>0</v>
      </c>
      <c r="C167" s="255">
        <f t="shared" si="8"/>
        <v>0</v>
      </c>
      <c r="D167" s="255">
        <f t="shared" si="8"/>
        <v>0</v>
      </c>
      <c r="E167" s="255">
        <f t="shared" si="8"/>
        <v>0</v>
      </c>
      <c r="F167" s="255">
        <f t="shared" si="8"/>
        <v>0</v>
      </c>
      <c r="G167" s="255">
        <f t="shared" si="8"/>
        <v>0</v>
      </c>
    </row>
    <row r="168" spans="1:7" ht="12.75">
      <c r="A168" s="255" t="str">
        <f>A33</f>
        <v>Other Receits from Land #2 - total $</v>
      </c>
      <c r="B168" s="255">
        <f t="shared" si="8"/>
        <v>0</v>
      </c>
      <c r="C168" s="255">
        <f t="shared" si="8"/>
        <v>0</v>
      </c>
      <c r="D168" s="255">
        <f t="shared" si="8"/>
        <v>0</v>
      </c>
      <c r="E168" s="255">
        <f t="shared" si="8"/>
        <v>0</v>
      </c>
      <c r="F168" s="255">
        <f t="shared" si="8"/>
        <v>0</v>
      </c>
      <c r="G168" s="255">
        <f t="shared" si="8"/>
        <v>0</v>
      </c>
    </row>
    <row r="169" spans="1:7" ht="12.75">
      <c r="A169" s="260" t="s">
        <v>141</v>
      </c>
      <c r="B169" s="258"/>
      <c r="C169" s="258"/>
      <c r="D169" s="258"/>
      <c r="E169" s="258"/>
      <c r="F169" s="258"/>
      <c r="G169" s="259"/>
    </row>
    <row r="170" spans="1:7" ht="12.75">
      <c r="A170" t="s">
        <v>137</v>
      </c>
      <c r="B170" s="255">
        <f aca="true" t="shared" si="9" ref="B170:G179">B35</f>
        <v>0</v>
      </c>
      <c r="C170" s="255">
        <f t="shared" si="9"/>
        <v>0</v>
      </c>
      <c r="D170" s="255">
        <f t="shared" si="9"/>
        <v>0</v>
      </c>
      <c r="E170" s="255">
        <f t="shared" si="9"/>
        <v>0</v>
      </c>
      <c r="F170" s="255">
        <f t="shared" si="9"/>
        <v>0</v>
      </c>
      <c r="G170" s="255">
        <f t="shared" si="9"/>
        <v>0</v>
      </c>
    </row>
    <row r="171" spans="1:7" ht="12.75">
      <c r="A171" t="s">
        <v>113</v>
      </c>
      <c r="B171" s="255">
        <f t="shared" si="9"/>
        <v>0</v>
      </c>
      <c r="C171" s="255">
        <f t="shared" si="9"/>
        <v>0</v>
      </c>
      <c r="D171" s="255">
        <f t="shared" si="9"/>
        <v>0</v>
      </c>
      <c r="E171" s="255">
        <f t="shared" si="9"/>
        <v>0</v>
      </c>
      <c r="F171" s="255">
        <f t="shared" si="9"/>
        <v>0</v>
      </c>
      <c r="G171" s="255">
        <f t="shared" si="9"/>
        <v>0</v>
      </c>
    </row>
    <row r="172" spans="1:7" ht="12.75">
      <c r="A172" t="s">
        <v>114</v>
      </c>
      <c r="B172" s="255">
        <f t="shared" si="9"/>
        <v>0</v>
      </c>
      <c r="C172" s="255">
        <f t="shared" si="9"/>
        <v>0</v>
      </c>
      <c r="D172" s="255">
        <f t="shared" si="9"/>
        <v>0</v>
      </c>
      <c r="E172" s="255">
        <f t="shared" si="9"/>
        <v>0</v>
      </c>
      <c r="F172" s="255">
        <f t="shared" si="9"/>
        <v>0</v>
      </c>
      <c r="G172" s="255">
        <f t="shared" si="9"/>
        <v>0</v>
      </c>
    </row>
    <row r="173" spans="1:7" ht="12.75">
      <c r="A173" s="149" t="s">
        <v>115</v>
      </c>
      <c r="B173" s="261">
        <f t="shared" si="9"/>
        <v>0</v>
      </c>
      <c r="C173" s="261">
        <f t="shared" si="9"/>
        <v>0</v>
      </c>
      <c r="D173" s="261">
        <f t="shared" si="9"/>
        <v>0</v>
      </c>
      <c r="E173" s="261">
        <f t="shared" si="9"/>
        <v>0</v>
      </c>
      <c r="F173" s="261">
        <f t="shared" si="9"/>
        <v>0</v>
      </c>
      <c r="G173" s="261">
        <f t="shared" si="9"/>
        <v>0</v>
      </c>
    </row>
    <row r="174" spans="1:7" ht="12.75">
      <c r="A174" t="s">
        <v>136</v>
      </c>
      <c r="B174" s="255">
        <f t="shared" si="9"/>
        <v>0</v>
      </c>
      <c r="C174" s="255">
        <f t="shared" si="9"/>
        <v>0</v>
      </c>
      <c r="D174" s="255">
        <f t="shared" si="9"/>
        <v>0</v>
      </c>
      <c r="E174" s="255">
        <f t="shared" si="9"/>
        <v>0</v>
      </c>
      <c r="F174" s="255">
        <f t="shared" si="9"/>
        <v>0</v>
      </c>
      <c r="G174" s="255">
        <f t="shared" si="9"/>
        <v>0</v>
      </c>
    </row>
    <row r="175" spans="1:7" ht="12.75">
      <c r="A175" t="s">
        <v>113</v>
      </c>
      <c r="B175" s="255">
        <f t="shared" si="9"/>
        <v>0</v>
      </c>
      <c r="C175" s="255">
        <f t="shared" si="9"/>
        <v>0</v>
      </c>
      <c r="D175" s="255">
        <f t="shared" si="9"/>
        <v>0</v>
      </c>
      <c r="E175" s="255">
        <f t="shared" si="9"/>
        <v>0</v>
      </c>
      <c r="F175" s="255">
        <f t="shared" si="9"/>
        <v>0</v>
      </c>
      <c r="G175" s="255">
        <f t="shared" si="9"/>
        <v>0</v>
      </c>
    </row>
    <row r="176" spans="1:7" ht="12.75">
      <c r="A176" t="s">
        <v>114</v>
      </c>
      <c r="B176" s="255">
        <f t="shared" si="9"/>
        <v>0</v>
      </c>
      <c r="C176" s="255">
        <f t="shared" si="9"/>
        <v>0</v>
      </c>
      <c r="D176" s="255">
        <f t="shared" si="9"/>
        <v>0</v>
      </c>
      <c r="E176" s="255">
        <f t="shared" si="9"/>
        <v>0</v>
      </c>
      <c r="F176" s="255">
        <f t="shared" si="9"/>
        <v>0</v>
      </c>
      <c r="G176" s="255">
        <f t="shared" si="9"/>
        <v>0</v>
      </c>
    </row>
    <row r="177" spans="1:7" ht="12.75">
      <c r="A177" s="149" t="s">
        <v>115</v>
      </c>
      <c r="B177" s="261">
        <f t="shared" si="9"/>
        <v>0</v>
      </c>
      <c r="C177" s="261">
        <f t="shared" si="9"/>
        <v>0</v>
      </c>
      <c r="D177" s="261">
        <f t="shared" si="9"/>
        <v>0</v>
      </c>
      <c r="E177" s="261">
        <f t="shared" si="9"/>
        <v>0</v>
      </c>
      <c r="F177" s="261">
        <f t="shared" si="9"/>
        <v>0</v>
      </c>
      <c r="G177" s="261">
        <f t="shared" si="9"/>
        <v>0</v>
      </c>
    </row>
    <row r="178" spans="1:7" ht="12.75">
      <c r="A178" t="s">
        <v>138</v>
      </c>
      <c r="B178" s="255">
        <f t="shared" si="9"/>
        <v>0</v>
      </c>
      <c r="C178" s="255">
        <f t="shared" si="9"/>
        <v>0</v>
      </c>
      <c r="D178" s="255">
        <f t="shared" si="9"/>
        <v>0</v>
      </c>
      <c r="E178" s="255">
        <f t="shared" si="9"/>
        <v>0</v>
      </c>
      <c r="F178" s="255">
        <f t="shared" si="9"/>
        <v>0</v>
      </c>
      <c r="G178" s="255">
        <f t="shared" si="9"/>
        <v>0</v>
      </c>
    </row>
    <row r="179" spans="1:7" ht="12.75">
      <c r="A179" t="s">
        <v>113</v>
      </c>
      <c r="B179" s="255">
        <f t="shared" si="9"/>
        <v>0</v>
      </c>
      <c r="C179" s="255">
        <f t="shared" si="9"/>
        <v>0</v>
      </c>
      <c r="D179" s="255">
        <f t="shared" si="9"/>
        <v>0</v>
      </c>
      <c r="E179" s="255">
        <f t="shared" si="9"/>
        <v>0</v>
      </c>
      <c r="F179" s="255">
        <f t="shared" si="9"/>
        <v>0</v>
      </c>
      <c r="G179" s="255">
        <f t="shared" si="9"/>
        <v>0</v>
      </c>
    </row>
    <row r="180" spans="1:7" ht="12.75">
      <c r="A180" t="s">
        <v>114</v>
      </c>
      <c r="B180" s="255">
        <f aca="true" t="shared" si="10" ref="B180:G189">B45</f>
        <v>0</v>
      </c>
      <c r="C180" s="255">
        <f t="shared" si="10"/>
        <v>0</v>
      </c>
      <c r="D180" s="255">
        <f t="shared" si="10"/>
        <v>0</v>
      </c>
      <c r="E180" s="255">
        <f t="shared" si="10"/>
        <v>0</v>
      </c>
      <c r="F180" s="255">
        <f t="shared" si="10"/>
        <v>0</v>
      </c>
      <c r="G180" s="255">
        <f t="shared" si="10"/>
        <v>0</v>
      </c>
    </row>
    <row r="181" spans="1:7" ht="12.75">
      <c r="A181" s="149" t="s">
        <v>115</v>
      </c>
      <c r="B181" s="261">
        <f t="shared" si="10"/>
        <v>0</v>
      </c>
      <c r="C181" s="261">
        <f t="shared" si="10"/>
        <v>0</v>
      </c>
      <c r="D181" s="261">
        <f t="shared" si="10"/>
        <v>0</v>
      </c>
      <c r="E181" s="261">
        <f t="shared" si="10"/>
        <v>0</v>
      </c>
      <c r="F181" s="261">
        <f t="shared" si="10"/>
        <v>0</v>
      </c>
      <c r="G181" s="261">
        <f t="shared" si="10"/>
        <v>0</v>
      </c>
    </row>
    <row r="182" spans="1:7" ht="12.75">
      <c r="A182" t="s">
        <v>139</v>
      </c>
      <c r="B182" s="255">
        <f t="shared" si="10"/>
        <v>0</v>
      </c>
      <c r="C182" s="255">
        <f t="shared" si="10"/>
        <v>0</v>
      </c>
      <c r="D182" s="255">
        <f t="shared" si="10"/>
        <v>0</v>
      </c>
      <c r="E182" s="255">
        <f t="shared" si="10"/>
        <v>0</v>
      </c>
      <c r="F182" s="255">
        <f t="shared" si="10"/>
        <v>0</v>
      </c>
      <c r="G182" s="255">
        <f t="shared" si="10"/>
        <v>0</v>
      </c>
    </row>
    <row r="183" spans="1:7" ht="12.75">
      <c r="A183" t="s">
        <v>113</v>
      </c>
      <c r="B183" s="255">
        <f t="shared" si="10"/>
        <v>0</v>
      </c>
      <c r="C183" s="255">
        <f t="shared" si="10"/>
        <v>0</v>
      </c>
      <c r="D183" s="255">
        <f t="shared" si="10"/>
        <v>0</v>
      </c>
      <c r="E183" s="255">
        <f t="shared" si="10"/>
        <v>0</v>
      </c>
      <c r="F183" s="255">
        <f t="shared" si="10"/>
        <v>0</v>
      </c>
      <c r="G183" s="255">
        <f t="shared" si="10"/>
        <v>0</v>
      </c>
    </row>
    <row r="184" spans="1:7" ht="12.75">
      <c r="A184" t="s">
        <v>114</v>
      </c>
      <c r="B184" s="255">
        <f t="shared" si="10"/>
        <v>0</v>
      </c>
      <c r="C184" s="255">
        <f t="shared" si="10"/>
        <v>0</v>
      </c>
      <c r="D184" s="255">
        <f t="shared" si="10"/>
        <v>0</v>
      </c>
      <c r="E184" s="255">
        <f t="shared" si="10"/>
        <v>0</v>
      </c>
      <c r="F184" s="255">
        <f t="shared" si="10"/>
        <v>0</v>
      </c>
      <c r="G184" s="255">
        <f t="shared" si="10"/>
        <v>0</v>
      </c>
    </row>
    <row r="185" spans="1:7" ht="12.75">
      <c r="A185" s="149" t="s">
        <v>115</v>
      </c>
      <c r="B185" s="261">
        <f t="shared" si="10"/>
        <v>0</v>
      </c>
      <c r="C185" s="261">
        <f t="shared" si="10"/>
        <v>0</v>
      </c>
      <c r="D185" s="261">
        <f t="shared" si="10"/>
        <v>0</v>
      </c>
      <c r="E185" s="261">
        <f t="shared" si="10"/>
        <v>0</v>
      </c>
      <c r="F185" s="261">
        <f t="shared" si="10"/>
        <v>0</v>
      </c>
      <c r="G185" s="261">
        <f t="shared" si="10"/>
        <v>0</v>
      </c>
    </row>
    <row r="186" spans="1:7" ht="12.75">
      <c r="A186" t="s">
        <v>140</v>
      </c>
      <c r="B186" s="255">
        <f t="shared" si="10"/>
        <v>0</v>
      </c>
      <c r="C186" s="255">
        <f t="shared" si="10"/>
        <v>0</v>
      </c>
      <c r="D186" s="255">
        <f t="shared" si="10"/>
        <v>0</v>
      </c>
      <c r="E186" s="255">
        <f t="shared" si="10"/>
        <v>0</v>
      </c>
      <c r="F186" s="255">
        <f t="shared" si="10"/>
        <v>0</v>
      </c>
      <c r="G186" s="255">
        <f t="shared" si="10"/>
        <v>0</v>
      </c>
    </row>
    <row r="187" spans="1:7" ht="12.75">
      <c r="A187" t="s">
        <v>113</v>
      </c>
      <c r="B187" s="255">
        <f t="shared" si="10"/>
        <v>0</v>
      </c>
      <c r="C187" s="255">
        <f t="shared" si="10"/>
        <v>0</v>
      </c>
      <c r="D187" s="255">
        <f t="shared" si="10"/>
        <v>0</v>
      </c>
      <c r="E187" s="255">
        <f t="shared" si="10"/>
        <v>0</v>
      </c>
      <c r="F187" s="255">
        <f t="shared" si="10"/>
        <v>0</v>
      </c>
      <c r="G187" s="255">
        <f t="shared" si="10"/>
        <v>0</v>
      </c>
    </row>
    <row r="188" spans="1:7" ht="12.75">
      <c r="A188" t="s">
        <v>114</v>
      </c>
      <c r="B188" s="255">
        <f t="shared" si="10"/>
        <v>0</v>
      </c>
      <c r="C188" s="255">
        <f t="shared" si="10"/>
        <v>0</v>
      </c>
      <c r="D188" s="255">
        <f t="shared" si="10"/>
        <v>0</v>
      </c>
      <c r="E188" s="255">
        <f t="shared" si="10"/>
        <v>0</v>
      </c>
      <c r="F188" s="255">
        <f t="shared" si="10"/>
        <v>0</v>
      </c>
      <c r="G188" s="255">
        <f t="shared" si="10"/>
        <v>0</v>
      </c>
    </row>
    <row r="189" spans="1:7" ht="12.75">
      <c r="A189" t="s">
        <v>115</v>
      </c>
      <c r="B189" s="255">
        <f t="shared" si="10"/>
        <v>0</v>
      </c>
      <c r="C189" s="255">
        <f t="shared" si="10"/>
        <v>0</v>
      </c>
      <c r="D189" s="255">
        <f t="shared" si="10"/>
        <v>0</v>
      </c>
      <c r="E189" s="255">
        <f t="shared" si="10"/>
        <v>0</v>
      </c>
      <c r="F189" s="255">
        <f t="shared" si="10"/>
        <v>0</v>
      </c>
      <c r="G189" s="255">
        <f t="shared" si="10"/>
        <v>0</v>
      </c>
    </row>
    <row r="190" spans="1:7" ht="12.75">
      <c r="A190" s="260" t="s">
        <v>116</v>
      </c>
      <c r="B190" s="258"/>
      <c r="C190" s="258"/>
      <c r="D190" s="258"/>
      <c r="E190" s="258"/>
      <c r="F190" s="258"/>
      <c r="G190" s="259"/>
    </row>
    <row r="191" spans="1:7" ht="12.75">
      <c r="A191" t="s">
        <v>137</v>
      </c>
      <c r="B191" s="255">
        <f aca="true" t="shared" si="11" ref="B191:G200">B56</f>
        <v>0</v>
      </c>
      <c r="C191" s="255">
        <f t="shared" si="11"/>
        <v>0</v>
      </c>
      <c r="D191" s="255">
        <f t="shared" si="11"/>
        <v>0</v>
      </c>
      <c r="E191" s="255">
        <f t="shared" si="11"/>
        <v>0</v>
      </c>
      <c r="F191" s="255">
        <f t="shared" si="11"/>
        <v>0</v>
      </c>
      <c r="G191" s="255">
        <f t="shared" si="11"/>
        <v>0</v>
      </c>
    </row>
    <row r="192" spans="1:7" ht="12.75">
      <c r="A192" t="s">
        <v>113</v>
      </c>
      <c r="B192" s="255">
        <f t="shared" si="11"/>
        <v>0</v>
      </c>
      <c r="C192" s="255">
        <f t="shared" si="11"/>
        <v>0</v>
      </c>
      <c r="D192" s="255">
        <f t="shared" si="11"/>
        <v>0</v>
      </c>
      <c r="E192" s="255">
        <f t="shared" si="11"/>
        <v>0</v>
      </c>
      <c r="F192" s="255">
        <f t="shared" si="11"/>
        <v>0</v>
      </c>
      <c r="G192" s="255">
        <f t="shared" si="11"/>
        <v>0</v>
      </c>
    </row>
    <row r="193" spans="1:7" ht="12.75">
      <c r="A193" t="s">
        <v>114</v>
      </c>
      <c r="B193" s="255">
        <f t="shared" si="11"/>
        <v>0</v>
      </c>
      <c r="C193" s="255">
        <f t="shared" si="11"/>
        <v>0</v>
      </c>
      <c r="D193" s="255">
        <f t="shared" si="11"/>
        <v>0</v>
      </c>
      <c r="E193" s="255">
        <f t="shared" si="11"/>
        <v>0</v>
      </c>
      <c r="F193" s="255">
        <f t="shared" si="11"/>
        <v>0</v>
      </c>
      <c r="G193" s="255">
        <f t="shared" si="11"/>
        <v>0</v>
      </c>
    </row>
    <row r="194" spans="1:7" ht="12.75">
      <c r="A194" s="149" t="s">
        <v>115</v>
      </c>
      <c r="B194" s="261">
        <f t="shared" si="11"/>
        <v>0</v>
      </c>
      <c r="C194" s="261">
        <f t="shared" si="11"/>
        <v>0</v>
      </c>
      <c r="D194" s="261">
        <f t="shared" si="11"/>
        <v>0</v>
      </c>
      <c r="E194" s="261">
        <f t="shared" si="11"/>
        <v>0</v>
      </c>
      <c r="F194" s="261">
        <f t="shared" si="11"/>
        <v>0</v>
      </c>
      <c r="G194" s="261">
        <f t="shared" si="11"/>
        <v>0</v>
      </c>
    </row>
    <row r="195" spans="1:7" ht="12.75">
      <c r="A195" t="s">
        <v>136</v>
      </c>
      <c r="B195" s="255">
        <f t="shared" si="11"/>
        <v>0</v>
      </c>
      <c r="C195" s="255">
        <f t="shared" si="11"/>
        <v>0</v>
      </c>
      <c r="D195" s="255">
        <f t="shared" si="11"/>
        <v>0</v>
      </c>
      <c r="E195" s="255">
        <f t="shared" si="11"/>
        <v>0</v>
      </c>
      <c r="F195" s="255">
        <f t="shared" si="11"/>
        <v>0</v>
      </c>
      <c r="G195" s="255">
        <f t="shared" si="11"/>
        <v>0</v>
      </c>
    </row>
    <row r="196" spans="1:7" ht="12.75">
      <c r="A196" t="s">
        <v>113</v>
      </c>
      <c r="B196" s="255">
        <f t="shared" si="11"/>
        <v>0</v>
      </c>
      <c r="C196" s="255">
        <f t="shared" si="11"/>
        <v>0</v>
      </c>
      <c r="D196" s="255">
        <f t="shared" si="11"/>
        <v>0</v>
      </c>
      <c r="E196" s="255">
        <f t="shared" si="11"/>
        <v>0</v>
      </c>
      <c r="F196" s="255">
        <f t="shared" si="11"/>
        <v>0</v>
      </c>
      <c r="G196" s="255">
        <f t="shared" si="11"/>
        <v>0</v>
      </c>
    </row>
    <row r="197" spans="1:7" ht="12.75">
      <c r="A197" t="s">
        <v>114</v>
      </c>
      <c r="B197" s="255">
        <f t="shared" si="11"/>
        <v>0</v>
      </c>
      <c r="C197" s="255">
        <f t="shared" si="11"/>
        <v>0</v>
      </c>
      <c r="D197" s="255">
        <f t="shared" si="11"/>
        <v>0</v>
      </c>
      <c r="E197" s="255">
        <f t="shared" si="11"/>
        <v>0</v>
      </c>
      <c r="F197" s="255">
        <f t="shared" si="11"/>
        <v>0</v>
      </c>
      <c r="G197" s="255">
        <f t="shared" si="11"/>
        <v>0</v>
      </c>
    </row>
    <row r="198" spans="1:7" ht="12.75">
      <c r="A198" s="149" t="s">
        <v>115</v>
      </c>
      <c r="B198" s="261">
        <f t="shared" si="11"/>
        <v>0</v>
      </c>
      <c r="C198" s="261">
        <f t="shared" si="11"/>
        <v>0</v>
      </c>
      <c r="D198" s="261">
        <f t="shared" si="11"/>
        <v>0</v>
      </c>
      <c r="E198" s="261">
        <f t="shared" si="11"/>
        <v>0</v>
      </c>
      <c r="F198" s="261">
        <f t="shared" si="11"/>
        <v>0</v>
      </c>
      <c r="G198" s="261">
        <f t="shared" si="11"/>
        <v>0</v>
      </c>
    </row>
    <row r="199" spans="1:7" ht="12.75">
      <c r="A199" t="s">
        <v>138</v>
      </c>
      <c r="B199" s="255">
        <f t="shared" si="11"/>
        <v>0</v>
      </c>
      <c r="C199" s="255">
        <f t="shared" si="11"/>
        <v>0</v>
      </c>
      <c r="D199" s="255">
        <f t="shared" si="11"/>
        <v>0</v>
      </c>
      <c r="E199" s="255">
        <f t="shared" si="11"/>
        <v>0</v>
      </c>
      <c r="F199" s="255">
        <f t="shared" si="11"/>
        <v>0</v>
      </c>
      <c r="G199" s="255">
        <f t="shared" si="11"/>
        <v>0</v>
      </c>
    </row>
    <row r="200" spans="1:7" ht="12.75">
      <c r="A200" t="s">
        <v>113</v>
      </c>
      <c r="B200" s="255">
        <f t="shared" si="11"/>
        <v>0</v>
      </c>
      <c r="C200" s="255">
        <f t="shared" si="11"/>
        <v>0</v>
      </c>
      <c r="D200" s="255">
        <f t="shared" si="11"/>
        <v>0</v>
      </c>
      <c r="E200" s="255">
        <f t="shared" si="11"/>
        <v>0</v>
      </c>
      <c r="F200" s="255">
        <f t="shared" si="11"/>
        <v>0</v>
      </c>
      <c r="G200" s="255">
        <f t="shared" si="11"/>
        <v>0</v>
      </c>
    </row>
    <row r="201" spans="1:7" ht="12.75">
      <c r="A201" t="s">
        <v>114</v>
      </c>
      <c r="B201" s="255">
        <f aca="true" t="shared" si="12" ref="B201:G210">B66</f>
        <v>0</v>
      </c>
      <c r="C201" s="255">
        <f t="shared" si="12"/>
        <v>0</v>
      </c>
      <c r="D201" s="255">
        <f t="shared" si="12"/>
        <v>0</v>
      </c>
      <c r="E201" s="255">
        <f t="shared" si="12"/>
        <v>0</v>
      </c>
      <c r="F201" s="255">
        <f t="shared" si="12"/>
        <v>0</v>
      </c>
      <c r="G201" s="255">
        <f t="shared" si="12"/>
        <v>0</v>
      </c>
    </row>
    <row r="202" spans="1:7" ht="12.75">
      <c r="A202" s="149" t="s">
        <v>115</v>
      </c>
      <c r="B202" s="261">
        <f t="shared" si="12"/>
        <v>0</v>
      </c>
      <c r="C202" s="261">
        <f t="shared" si="12"/>
        <v>0</v>
      </c>
      <c r="D202" s="261">
        <f t="shared" si="12"/>
        <v>0</v>
      </c>
      <c r="E202" s="261">
        <f t="shared" si="12"/>
        <v>0</v>
      </c>
      <c r="F202" s="261">
        <f t="shared" si="12"/>
        <v>0</v>
      </c>
      <c r="G202" s="261">
        <f t="shared" si="12"/>
        <v>0</v>
      </c>
    </row>
    <row r="203" spans="1:7" ht="12.75">
      <c r="A203" t="s">
        <v>139</v>
      </c>
      <c r="B203" s="255">
        <f t="shared" si="12"/>
        <v>0</v>
      </c>
      <c r="C203" s="255">
        <f t="shared" si="12"/>
        <v>0</v>
      </c>
      <c r="D203" s="255">
        <f t="shared" si="12"/>
        <v>0</v>
      </c>
      <c r="E203" s="255">
        <f t="shared" si="12"/>
        <v>0</v>
      </c>
      <c r="F203" s="255">
        <f t="shared" si="12"/>
        <v>0</v>
      </c>
      <c r="G203" s="255">
        <f t="shared" si="12"/>
        <v>0</v>
      </c>
    </row>
    <row r="204" spans="1:7" ht="12.75">
      <c r="A204" t="s">
        <v>113</v>
      </c>
      <c r="B204" s="255">
        <f t="shared" si="12"/>
        <v>0</v>
      </c>
      <c r="C204" s="255">
        <f t="shared" si="12"/>
        <v>0</v>
      </c>
      <c r="D204" s="255">
        <f t="shared" si="12"/>
        <v>0</v>
      </c>
      <c r="E204" s="255">
        <f t="shared" si="12"/>
        <v>0</v>
      </c>
      <c r="F204" s="255">
        <f t="shared" si="12"/>
        <v>0</v>
      </c>
      <c r="G204" s="255">
        <f t="shared" si="12"/>
        <v>0</v>
      </c>
    </row>
    <row r="205" spans="1:7" ht="12.75">
      <c r="A205" t="s">
        <v>114</v>
      </c>
      <c r="B205" s="255">
        <f t="shared" si="12"/>
        <v>0</v>
      </c>
      <c r="C205" s="255">
        <f t="shared" si="12"/>
        <v>0</v>
      </c>
      <c r="D205" s="255">
        <f t="shared" si="12"/>
        <v>0</v>
      </c>
      <c r="E205" s="255">
        <f t="shared" si="12"/>
        <v>0</v>
      </c>
      <c r="F205" s="255">
        <f t="shared" si="12"/>
        <v>0</v>
      </c>
      <c r="G205" s="255">
        <f t="shared" si="12"/>
        <v>0</v>
      </c>
    </row>
    <row r="206" spans="1:7" ht="12.75">
      <c r="A206" s="149" t="s">
        <v>115</v>
      </c>
      <c r="B206" s="261">
        <f t="shared" si="12"/>
        <v>0</v>
      </c>
      <c r="C206" s="261">
        <f t="shared" si="12"/>
        <v>0</v>
      </c>
      <c r="D206" s="261">
        <f t="shared" si="12"/>
        <v>0</v>
      </c>
      <c r="E206" s="261">
        <f t="shared" si="12"/>
        <v>0</v>
      </c>
      <c r="F206" s="261">
        <f t="shared" si="12"/>
        <v>0</v>
      </c>
      <c r="G206" s="261">
        <f t="shared" si="12"/>
        <v>0</v>
      </c>
    </row>
    <row r="207" spans="1:7" ht="12.75">
      <c r="A207" t="s">
        <v>140</v>
      </c>
      <c r="B207" s="255">
        <f t="shared" si="12"/>
        <v>0</v>
      </c>
      <c r="C207" s="255">
        <f t="shared" si="12"/>
        <v>0</v>
      </c>
      <c r="D207" s="255">
        <f t="shared" si="12"/>
        <v>0</v>
      </c>
      <c r="E207" s="255">
        <f t="shared" si="12"/>
        <v>0</v>
      </c>
      <c r="F207" s="255">
        <f t="shared" si="12"/>
        <v>0</v>
      </c>
      <c r="G207" s="255">
        <f t="shared" si="12"/>
        <v>0</v>
      </c>
    </row>
    <row r="208" spans="1:7" ht="12.75">
      <c r="A208" t="s">
        <v>113</v>
      </c>
      <c r="B208" s="255">
        <f t="shared" si="12"/>
        <v>0</v>
      </c>
      <c r="C208" s="255">
        <f t="shared" si="12"/>
        <v>0</v>
      </c>
      <c r="D208" s="255">
        <f t="shared" si="12"/>
        <v>0</v>
      </c>
      <c r="E208" s="255">
        <f t="shared" si="12"/>
        <v>0</v>
      </c>
      <c r="F208" s="255">
        <f t="shared" si="12"/>
        <v>0</v>
      </c>
      <c r="G208" s="255">
        <f t="shared" si="12"/>
        <v>0</v>
      </c>
    </row>
    <row r="209" spans="1:7" ht="12.75">
      <c r="A209" t="s">
        <v>114</v>
      </c>
      <c r="B209" s="255">
        <f t="shared" si="12"/>
        <v>0</v>
      </c>
      <c r="C209" s="255">
        <f t="shared" si="12"/>
        <v>0</v>
      </c>
      <c r="D209" s="255">
        <f t="shared" si="12"/>
        <v>0</v>
      </c>
      <c r="E209" s="255">
        <f t="shared" si="12"/>
        <v>0</v>
      </c>
      <c r="F209" s="255">
        <f t="shared" si="12"/>
        <v>0</v>
      </c>
      <c r="G209" s="255">
        <f t="shared" si="12"/>
        <v>0</v>
      </c>
    </row>
    <row r="210" spans="1:7" ht="12.75">
      <c r="A210" s="149" t="s">
        <v>115</v>
      </c>
      <c r="B210" s="261">
        <f t="shared" si="12"/>
        <v>0</v>
      </c>
      <c r="C210" s="261">
        <f t="shared" si="12"/>
        <v>0</v>
      </c>
      <c r="D210" s="261">
        <f t="shared" si="12"/>
        <v>0</v>
      </c>
      <c r="E210" s="261">
        <f t="shared" si="12"/>
        <v>0</v>
      </c>
      <c r="F210" s="261">
        <f t="shared" si="12"/>
        <v>0</v>
      </c>
      <c r="G210" s="261">
        <f t="shared" si="12"/>
        <v>0</v>
      </c>
    </row>
    <row r="211" spans="2:7" ht="12.75">
      <c r="B211" s="262"/>
      <c r="C211" s="262"/>
      <c r="D211" s="262" t="str">
        <f>D76</f>
        <v>Organic Yields as % of Conventional Yields</v>
      </c>
      <c r="E211" s="262"/>
      <c r="F211" s="262"/>
      <c r="G211" s="262"/>
    </row>
    <row r="212" spans="1:7" ht="12.75">
      <c r="A212" s="9" t="s">
        <v>75</v>
      </c>
      <c r="B212" s="262" t="str">
        <f aca="true" t="shared" si="13" ref="B212:C218">B77</f>
        <v>Conventional</v>
      </c>
      <c r="C212" s="262" t="str">
        <f t="shared" si="13"/>
        <v>year 1</v>
      </c>
      <c r="D212" s="262" t="str">
        <f>D77</f>
        <v>year 2</v>
      </c>
      <c r="E212" s="262" t="str">
        <f aca="true" t="shared" si="14" ref="E212:G215">E77</f>
        <v>year 3</v>
      </c>
      <c r="F212" s="262" t="str">
        <f t="shared" si="14"/>
        <v>year 4</v>
      </c>
      <c r="G212" s="262" t="str">
        <f t="shared" si="14"/>
        <v>year 5</v>
      </c>
    </row>
    <row r="213" spans="1:7" ht="12.75">
      <c r="A213" t="s">
        <v>72</v>
      </c>
      <c r="B213" s="255">
        <f t="shared" si="13"/>
        <v>180</v>
      </c>
      <c r="C213" s="263">
        <f t="shared" si="13"/>
        <v>0.7</v>
      </c>
      <c r="D213" s="263">
        <f>D78</f>
        <v>0.75</v>
      </c>
      <c r="E213" s="263">
        <f t="shared" si="14"/>
        <v>0.75</v>
      </c>
      <c r="F213" s="263">
        <f t="shared" si="14"/>
        <v>0.75</v>
      </c>
      <c r="G213" s="263">
        <f t="shared" si="14"/>
        <v>0.75</v>
      </c>
    </row>
    <row r="214" spans="1:7" ht="12.75">
      <c r="A214" t="s">
        <v>73</v>
      </c>
      <c r="B214" s="255">
        <f t="shared" si="13"/>
        <v>11</v>
      </c>
      <c r="C214" s="263">
        <f t="shared" si="13"/>
        <v>0.7</v>
      </c>
      <c r="D214" s="263">
        <f>D79</f>
        <v>0.75</v>
      </c>
      <c r="E214" s="263">
        <f t="shared" si="14"/>
        <v>0.75</v>
      </c>
      <c r="F214" s="263">
        <f t="shared" si="14"/>
        <v>0.75</v>
      </c>
      <c r="G214" s="263">
        <f t="shared" si="14"/>
        <v>0.75</v>
      </c>
    </row>
    <row r="215" spans="1:7" ht="12.75">
      <c r="A215" t="s">
        <v>74</v>
      </c>
      <c r="B215" s="255">
        <f t="shared" si="13"/>
        <v>33</v>
      </c>
      <c r="C215" s="263">
        <f t="shared" si="13"/>
        <v>1</v>
      </c>
      <c r="D215" s="263">
        <f>D80</f>
        <v>1</v>
      </c>
      <c r="E215" s="263">
        <f t="shared" si="14"/>
        <v>1</v>
      </c>
      <c r="F215" s="263">
        <f t="shared" si="14"/>
        <v>1</v>
      </c>
      <c r="G215" s="263">
        <f t="shared" si="14"/>
        <v>1</v>
      </c>
    </row>
    <row r="216" spans="1:7" ht="12.75">
      <c r="A216" s="9" t="s">
        <v>124</v>
      </c>
      <c r="B216" s="262" t="str">
        <f t="shared" si="13"/>
        <v>Conventional</v>
      </c>
      <c r="C216" s="262" t="str">
        <f t="shared" si="13"/>
        <v>Organic Certified</v>
      </c>
      <c r="D216" s="255"/>
      <c r="E216" s="255"/>
      <c r="F216" s="255"/>
      <c r="G216" s="255"/>
    </row>
    <row r="217" spans="1:7" ht="12.75">
      <c r="A217" t="s">
        <v>27</v>
      </c>
      <c r="B217" s="152">
        <f t="shared" si="13"/>
        <v>2</v>
      </c>
      <c r="C217" s="152">
        <f t="shared" si="13"/>
        <v>5.2</v>
      </c>
      <c r="D217" s="255"/>
      <c r="E217" s="255"/>
      <c r="F217" s="255"/>
      <c r="G217" s="255"/>
    </row>
    <row r="218" spans="1:7" ht="12.75">
      <c r="A218" t="s">
        <v>28</v>
      </c>
      <c r="B218" s="152">
        <f t="shared" si="13"/>
        <v>65</v>
      </c>
      <c r="C218" s="152">
        <f t="shared" si="13"/>
        <v>78</v>
      </c>
      <c r="D218" s="255"/>
      <c r="E218" s="255"/>
      <c r="F218" s="255"/>
      <c r="G218" s="255"/>
    </row>
    <row r="219" spans="2:7" ht="12.75">
      <c r="B219" s="255"/>
      <c r="C219" s="255"/>
      <c r="D219" s="255"/>
      <c r="E219" s="255"/>
      <c r="F219" s="255"/>
      <c r="G219" s="255"/>
    </row>
    <row r="220" spans="2:7" ht="12.75">
      <c r="B220" s="255"/>
      <c r="C220" s="255"/>
      <c r="D220" s="255"/>
      <c r="E220" s="255"/>
      <c r="F220" s="255"/>
      <c r="G220" s="255"/>
    </row>
    <row r="221" spans="1:7" ht="12.75">
      <c r="A221" s="9" t="s">
        <v>125</v>
      </c>
      <c r="B221" s="255"/>
      <c r="C221" s="255"/>
      <c r="D221" s="255"/>
      <c r="E221" s="255"/>
      <c r="F221" s="255"/>
      <c r="G221" s="255"/>
    </row>
    <row r="222" spans="1:7" ht="12.75">
      <c r="A222" t="s">
        <v>31</v>
      </c>
      <c r="B222" s="255">
        <f aca="true" t="shared" si="15" ref="B222:G229">B87</f>
        <v>180</v>
      </c>
      <c r="C222" s="255">
        <f t="shared" si="15"/>
        <v>180</v>
      </c>
      <c r="D222" s="255">
        <f t="shared" si="15"/>
        <v>180</v>
      </c>
      <c r="E222" s="255">
        <f t="shared" si="15"/>
        <v>125.99999999999999</v>
      </c>
      <c r="F222" s="255">
        <f t="shared" si="15"/>
        <v>125.99999999999999</v>
      </c>
      <c r="G222" s="255">
        <f t="shared" si="15"/>
        <v>125.99999999999999</v>
      </c>
    </row>
    <row r="223" spans="1:7" ht="12.75">
      <c r="A223" t="s">
        <v>30</v>
      </c>
      <c r="B223" s="255">
        <f t="shared" si="15"/>
        <v>11</v>
      </c>
      <c r="C223" s="255">
        <f t="shared" si="15"/>
        <v>11</v>
      </c>
      <c r="D223" s="255">
        <f t="shared" si="15"/>
        <v>11</v>
      </c>
      <c r="E223" s="255">
        <f t="shared" si="15"/>
        <v>7.699999999999999</v>
      </c>
      <c r="F223" s="255">
        <f t="shared" si="15"/>
        <v>7.699999999999999</v>
      </c>
      <c r="G223" s="255">
        <f t="shared" si="15"/>
        <v>7.699999999999999</v>
      </c>
    </row>
    <row r="224" spans="1:7" ht="12.75">
      <c r="A224" t="s">
        <v>32</v>
      </c>
      <c r="B224" s="255">
        <f t="shared" si="15"/>
        <v>33</v>
      </c>
      <c r="C224" s="255">
        <f t="shared" si="15"/>
        <v>33</v>
      </c>
      <c r="D224" s="255">
        <f t="shared" si="15"/>
        <v>33</v>
      </c>
      <c r="E224" s="255">
        <f t="shared" si="15"/>
        <v>33</v>
      </c>
      <c r="F224" s="255">
        <f t="shared" si="15"/>
        <v>33</v>
      </c>
      <c r="G224" s="255">
        <f t="shared" si="15"/>
        <v>33</v>
      </c>
    </row>
    <row r="225" spans="1:7" ht="12.75">
      <c r="A225" t="s">
        <v>42</v>
      </c>
      <c r="B225" s="255">
        <f t="shared" si="15"/>
        <v>452.693</v>
      </c>
      <c r="C225" s="255">
        <f t="shared" si="15"/>
        <v>399.56800000000004</v>
      </c>
      <c r="D225" s="255">
        <f t="shared" si="15"/>
        <v>0</v>
      </c>
      <c r="E225" s="255">
        <f t="shared" si="15"/>
        <v>569.1923809523811</v>
      </c>
      <c r="F225" s="255">
        <f t="shared" si="15"/>
        <v>142.29809523809527</v>
      </c>
      <c r="G225" s="255">
        <f t="shared" si="15"/>
        <v>0</v>
      </c>
    </row>
    <row r="226" spans="1:7" ht="12.75">
      <c r="A226" t="s">
        <v>43</v>
      </c>
      <c r="B226" s="255">
        <f t="shared" si="15"/>
        <v>87.05909090909091</v>
      </c>
      <c r="C226" s="255">
        <f t="shared" si="15"/>
        <v>80.25</v>
      </c>
      <c r="D226" s="255">
        <f t="shared" si="15"/>
        <v>92.89545454545454</v>
      </c>
      <c r="E226" s="255">
        <f t="shared" si="15"/>
        <v>156.33116883116887</v>
      </c>
      <c r="F226" s="255">
        <f t="shared" si="15"/>
        <v>114.22597402597404</v>
      </c>
      <c r="G226" s="255">
        <f t="shared" si="15"/>
        <v>132.70779220779224</v>
      </c>
    </row>
    <row r="227" spans="1:7" ht="12.75">
      <c r="A227" s="149" t="s">
        <v>44</v>
      </c>
      <c r="B227" s="261">
        <f t="shared" si="15"/>
        <v>121.63030303030301</v>
      </c>
      <c r="C227" s="261">
        <f t="shared" si="15"/>
        <v>121.63030303030301</v>
      </c>
      <c r="D227" s="261">
        <f t="shared" si="15"/>
        <v>338.5030303030303</v>
      </c>
      <c r="E227" s="261">
        <f t="shared" si="15"/>
        <v>121.63030303030301</v>
      </c>
      <c r="F227" s="261">
        <f t="shared" si="15"/>
        <v>257.17575757575753</v>
      </c>
      <c r="G227" s="261">
        <f t="shared" si="15"/>
        <v>338.5030303030303</v>
      </c>
    </row>
    <row r="228" spans="1:7" ht="12.75">
      <c r="A228" t="s">
        <v>126</v>
      </c>
      <c r="B228" s="255">
        <f t="shared" si="15"/>
        <v>8408.270000000002</v>
      </c>
      <c r="C228" s="255">
        <f t="shared" si="15"/>
        <v>32401.769999999982</v>
      </c>
      <c r="D228" s="255">
        <f t="shared" si="15"/>
        <v>112579.75</v>
      </c>
      <c r="E228" s="255">
        <f t="shared" si="15"/>
        <v>67857.26999999995</v>
      </c>
      <c r="F228" s="255">
        <f t="shared" si="15"/>
        <v>32270.779999999977</v>
      </c>
      <c r="G228" s="255">
        <f t="shared" si="15"/>
        <v>58879.749999999985</v>
      </c>
    </row>
    <row r="229" spans="1:7" ht="12.75">
      <c r="A229" t="s">
        <v>127</v>
      </c>
      <c r="B229" s="255">
        <f t="shared" si="15"/>
        <v>8697.937181818186</v>
      </c>
      <c r="C229" s="255">
        <f t="shared" si="15"/>
        <v>21111.24399999999</v>
      </c>
      <c r="D229" s="255">
        <f t="shared" si="15"/>
        <v>35623.59090909091</v>
      </c>
      <c r="E229" s="255">
        <f t="shared" si="15"/>
        <v>97128.85281385278</v>
      </c>
      <c r="F229" s="255">
        <f t="shared" si="15"/>
        <v>576.0995670995562</v>
      </c>
      <c r="G229" s="255">
        <f t="shared" si="15"/>
        <v>33747.98701298701</v>
      </c>
    </row>
    <row r="230" spans="1:7" ht="12.75">
      <c r="A230" s="9" t="s">
        <v>129</v>
      </c>
      <c r="B230" s="255"/>
      <c r="C230" s="255"/>
      <c r="D230" s="255"/>
      <c r="E230" s="255"/>
      <c r="F230" s="255"/>
      <c r="G230" s="255"/>
    </row>
    <row r="231" spans="1:7" ht="12.75">
      <c r="A231" t="s">
        <v>31</v>
      </c>
      <c r="B231" s="255">
        <f aca="true" t="shared" si="16" ref="B231:G238">B96</f>
        <v>180</v>
      </c>
      <c r="C231" s="255">
        <f t="shared" si="16"/>
        <v>180</v>
      </c>
      <c r="D231" s="255">
        <f t="shared" si="16"/>
        <v>180</v>
      </c>
      <c r="E231" s="255">
        <f t="shared" si="16"/>
        <v>135</v>
      </c>
      <c r="F231" s="255">
        <f t="shared" si="16"/>
        <v>135</v>
      </c>
      <c r="G231" s="255">
        <f t="shared" si="16"/>
        <v>135</v>
      </c>
    </row>
    <row r="232" spans="1:7" ht="12.75">
      <c r="A232" t="s">
        <v>30</v>
      </c>
      <c r="B232" s="255">
        <f t="shared" si="16"/>
        <v>11</v>
      </c>
      <c r="C232" s="255">
        <f t="shared" si="16"/>
        <v>11</v>
      </c>
      <c r="D232" s="255">
        <f t="shared" si="16"/>
        <v>11</v>
      </c>
      <c r="E232" s="255">
        <f t="shared" si="16"/>
        <v>8.25</v>
      </c>
      <c r="F232" s="255">
        <f t="shared" si="16"/>
        <v>8.25</v>
      </c>
      <c r="G232" s="255">
        <f t="shared" si="16"/>
        <v>8.25</v>
      </c>
    </row>
    <row r="233" spans="1:7" ht="12.75">
      <c r="A233" t="s">
        <v>32</v>
      </c>
      <c r="B233" s="255">
        <f t="shared" si="16"/>
        <v>33</v>
      </c>
      <c r="C233" s="255">
        <f t="shared" si="16"/>
        <v>33</v>
      </c>
      <c r="D233" s="255">
        <f t="shared" si="16"/>
        <v>33</v>
      </c>
      <c r="E233" s="255">
        <f t="shared" si="16"/>
        <v>33</v>
      </c>
      <c r="F233" s="255">
        <f t="shared" si="16"/>
        <v>33</v>
      </c>
      <c r="G233" s="255">
        <f t="shared" si="16"/>
        <v>33</v>
      </c>
    </row>
    <row r="234" spans="1:7" ht="12.75">
      <c r="A234" t="s">
        <v>42</v>
      </c>
      <c r="B234" s="255">
        <f t="shared" si="16"/>
        <v>452.693</v>
      </c>
      <c r="C234" s="255">
        <f t="shared" si="16"/>
        <v>399.56800000000004</v>
      </c>
      <c r="D234" s="255">
        <f t="shared" si="16"/>
        <v>0</v>
      </c>
      <c r="E234" s="255">
        <f t="shared" si="16"/>
        <v>531.2462222222222</v>
      </c>
      <c r="F234" s="255">
        <f t="shared" si="16"/>
        <v>132.81155555555554</v>
      </c>
      <c r="G234" s="255">
        <f t="shared" si="16"/>
        <v>0</v>
      </c>
    </row>
    <row r="235" spans="1:7" ht="12.75">
      <c r="A235" t="s">
        <v>43</v>
      </c>
      <c r="B235" s="255">
        <f t="shared" si="16"/>
        <v>87.05909090909091</v>
      </c>
      <c r="C235" s="255">
        <f t="shared" si="16"/>
        <v>80.25</v>
      </c>
      <c r="D235" s="255">
        <f t="shared" si="16"/>
        <v>92.89545454545454</v>
      </c>
      <c r="E235" s="255">
        <f t="shared" si="16"/>
        <v>145.90909090909093</v>
      </c>
      <c r="F235" s="255">
        <f t="shared" si="16"/>
        <v>106.6109090909091</v>
      </c>
      <c r="G235" s="255">
        <f t="shared" si="16"/>
        <v>123.86060606060606</v>
      </c>
    </row>
    <row r="236" spans="1:7" ht="12.75">
      <c r="A236" s="149" t="s">
        <v>44</v>
      </c>
      <c r="B236" s="261">
        <f t="shared" si="16"/>
        <v>121.63030303030301</v>
      </c>
      <c r="C236" s="261">
        <f t="shared" si="16"/>
        <v>121.63030303030301</v>
      </c>
      <c r="D236" s="261">
        <f t="shared" si="16"/>
        <v>338.5030303030303</v>
      </c>
      <c r="E236" s="261">
        <f t="shared" si="16"/>
        <v>121.63030303030301</v>
      </c>
      <c r="F236" s="261">
        <f t="shared" si="16"/>
        <v>257.17575757575753</v>
      </c>
      <c r="G236" s="261">
        <f t="shared" si="16"/>
        <v>338.5030303030303</v>
      </c>
    </row>
    <row r="237" spans="1:7" ht="12.75">
      <c r="A237" t="s">
        <v>126</v>
      </c>
      <c r="B237" s="255">
        <f t="shared" si="16"/>
        <v>8408.270000000002</v>
      </c>
      <c r="C237" s="255">
        <f t="shared" si="16"/>
        <v>32401.769999999982</v>
      </c>
      <c r="D237" s="255">
        <f t="shared" si="16"/>
        <v>112579.75</v>
      </c>
      <c r="E237" s="255">
        <f t="shared" si="16"/>
        <v>88538.52</v>
      </c>
      <c r="F237" s="255">
        <f t="shared" si="16"/>
        <v>41220.78</v>
      </c>
      <c r="G237" s="255">
        <f t="shared" si="16"/>
        <v>67829.75</v>
      </c>
    </row>
    <row r="238" spans="1:7" ht="12.75">
      <c r="A238" t="s">
        <v>127</v>
      </c>
      <c r="B238" s="255">
        <f t="shared" si="16"/>
        <v>8697.937181818186</v>
      </c>
      <c r="C238" s="255">
        <f t="shared" si="16"/>
        <v>21111.24399999999</v>
      </c>
      <c r="D238" s="255">
        <f t="shared" si="16"/>
        <v>35623.59090909091</v>
      </c>
      <c r="E238" s="255">
        <f t="shared" si="16"/>
        <v>97128.85281385278</v>
      </c>
      <c r="F238" s="255">
        <f t="shared" si="16"/>
        <v>576.0995670995562</v>
      </c>
      <c r="G238" s="255">
        <f t="shared" si="16"/>
        <v>33747.98701298701</v>
      </c>
    </row>
    <row r="239" spans="1:7" ht="12.75">
      <c r="A239" s="9" t="s">
        <v>132</v>
      </c>
      <c r="B239" s="255"/>
      <c r="C239" s="255"/>
      <c r="D239" s="255"/>
      <c r="E239" s="255"/>
      <c r="F239" s="255"/>
      <c r="G239" s="255"/>
    </row>
    <row r="240" spans="1:7" ht="12.75">
      <c r="A240" t="s">
        <v>31</v>
      </c>
      <c r="B240" s="255">
        <f aca="true" t="shared" si="17" ref="B240:G247">B105</f>
        <v>180</v>
      </c>
      <c r="C240" s="255">
        <f t="shared" si="17"/>
        <v>180</v>
      </c>
      <c r="D240" s="255">
        <f t="shared" si="17"/>
        <v>180</v>
      </c>
      <c r="E240" s="255">
        <f t="shared" si="17"/>
        <v>135</v>
      </c>
      <c r="F240" s="255">
        <f t="shared" si="17"/>
        <v>135</v>
      </c>
      <c r="G240" s="255">
        <f t="shared" si="17"/>
        <v>135</v>
      </c>
    </row>
    <row r="241" spans="1:7" ht="12.75">
      <c r="A241" t="s">
        <v>30</v>
      </c>
      <c r="B241" s="255">
        <f t="shared" si="17"/>
        <v>11</v>
      </c>
      <c r="C241" s="255">
        <f t="shared" si="17"/>
        <v>11</v>
      </c>
      <c r="D241" s="255">
        <f t="shared" si="17"/>
        <v>11</v>
      </c>
      <c r="E241" s="255">
        <f t="shared" si="17"/>
        <v>8.25</v>
      </c>
      <c r="F241" s="255">
        <f t="shared" si="17"/>
        <v>8.25</v>
      </c>
      <c r="G241" s="255">
        <f t="shared" si="17"/>
        <v>8.25</v>
      </c>
    </row>
    <row r="242" spans="1:7" ht="12.75">
      <c r="A242" t="s">
        <v>32</v>
      </c>
      <c r="B242" s="255">
        <f t="shared" si="17"/>
        <v>33</v>
      </c>
      <c r="C242" s="255">
        <f t="shared" si="17"/>
        <v>33</v>
      </c>
      <c r="D242" s="255">
        <f t="shared" si="17"/>
        <v>33</v>
      </c>
      <c r="E242" s="255">
        <f t="shared" si="17"/>
        <v>33</v>
      </c>
      <c r="F242" s="255">
        <f t="shared" si="17"/>
        <v>33</v>
      </c>
      <c r="G242" s="255">
        <f t="shared" si="17"/>
        <v>33</v>
      </c>
    </row>
    <row r="243" spans="1:7" ht="12.75">
      <c r="A243" t="s">
        <v>42</v>
      </c>
      <c r="B243" s="255">
        <f t="shared" si="17"/>
        <v>452.693</v>
      </c>
      <c r="C243" s="255">
        <f t="shared" si="17"/>
        <v>399.56800000000004</v>
      </c>
      <c r="D243" s="255">
        <f t="shared" si="17"/>
        <v>0</v>
      </c>
      <c r="E243" s="255">
        <f t="shared" si="17"/>
        <v>531.2462222222222</v>
      </c>
      <c r="F243" s="255">
        <f t="shared" si="17"/>
        <v>132.81155555555554</v>
      </c>
      <c r="G243" s="255">
        <f t="shared" si="17"/>
        <v>0</v>
      </c>
    </row>
    <row r="244" spans="1:7" ht="12.75">
      <c r="A244" t="s">
        <v>43</v>
      </c>
      <c r="B244" s="255">
        <f t="shared" si="17"/>
        <v>87.05909090909091</v>
      </c>
      <c r="C244" s="255">
        <f t="shared" si="17"/>
        <v>80.25</v>
      </c>
      <c r="D244" s="255">
        <f t="shared" si="17"/>
        <v>92.89545454545454</v>
      </c>
      <c r="E244" s="255">
        <f t="shared" si="17"/>
        <v>145.90909090909093</v>
      </c>
      <c r="F244" s="255">
        <f t="shared" si="17"/>
        <v>106.6109090909091</v>
      </c>
      <c r="G244" s="255">
        <f t="shared" si="17"/>
        <v>123.86060606060606</v>
      </c>
    </row>
    <row r="245" spans="1:7" ht="12.75">
      <c r="A245" s="149" t="s">
        <v>44</v>
      </c>
      <c r="B245" s="261">
        <f t="shared" si="17"/>
        <v>121.63030303030301</v>
      </c>
      <c r="C245" s="261">
        <f t="shared" si="17"/>
        <v>121.63030303030301</v>
      </c>
      <c r="D245" s="261">
        <f t="shared" si="17"/>
        <v>338.5030303030303</v>
      </c>
      <c r="E245" s="261">
        <f t="shared" si="17"/>
        <v>121.63030303030301</v>
      </c>
      <c r="F245" s="261">
        <f t="shared" si="17"/>
        <v>257.17575757575753</v>
      </c>
      <c r="G245" s="261">
        <f t="shared" si="17"/>
        <v>338.5030303030303</v>
      </c>
    </row>
    <row r="246" spans="1:7" ht="12.75">
      <c r="A246" t="s">
        <v>126</v>
      </c>
      <c r="B246" s="255">
        <f t="shared" si="17"/>
        <v>8408.270000000002</v>
      </c>
      <c r="C246" s="255">
        <f t="shared" si="17"/>
        <v>32401.769999999982</v>
      </c>
      <c r="D246" s="255">
        <f t="shared" si="17"/>
        <v>112579.75</v>
      </c>
      <c r="E246" s="255">
        <f t="shared" si="17"/>
        <v>88538.52</v>
      </c>
      <c r="F246" s="255">
        <f t="shared" si="17"/>
        <v>41220.78</v>
      </c>
      <c r="G246" s="255">
        <f t="shared" si="17"/>
        <v>67829.75</v>
      </c>
    </row>
    <row r="247" spans="1:7" ht="12.75">
      <c r="A247" t="s">
        <v>127</v>
      </c>
      <c r="B247" s="255">
        <f t="shared" si="17"/>
        <v>8697.937181818186</v>
      </c>
      <c r="C247" s="255">
        <f t="shared" si="17"/>
        <v>21111.24399999999</v>
      </c>
      <c r="D247" s="255">
        <f t="shared" si="17"/>
        <v>35623.59090909091</v>
      </c>
      <c r="E247" s="255">
        <f t="shared" si="17"/>
        <v>97128.85281385278</v>
      </c>
      <c r="F247" s="255">
        <f t="shared" si="17"/>
        <v>576.0995670995562</v>
      </c>
      <c r="G247" s="255">
        <f t="shared" si="17"/>
        <v>33747.98701298701</v>
      </c>
    </row>
    <row r="248" spans="1:7" ht="12.75">
      <c r="A248" s="9" t="s">
        <v>131</v>
      </c>
      <c r="B248" s="255"/>
      <c r="C248" s="255"/>
      <c r="D248" s="255"/>
      <c r="E248" s="255"/>
      <c r="F248" s="255"/>
      <c r="G248" s="255"/>
    </row>
    <row r="249" spans="1:7" ht="12.75">
      <c r="A249" t="s">
        <v>31</v>
      </c>
      <c r="B249" s="255">
        <f aca="true" t="shared" si="18" ref="B249:G256">B114</f>
        <v>180</v>
      </c>
      <c r="C249" s="255">
        <f t="shared" si="18"/>
        <v>180</v>
      </c>
      <c r="D249" s="255">
        <f t="shared" si="18"/>
        <v>180</v>
      </c>
      <c r="E249" s="255">
        <f t="shared" si="18"/>
        <v>135</v>
      </c>
      <c r="F249" s="255">
        <f t="shared" si="18"/>
        <v>135</v>
      </c>
      <c r="G249" s="255">
        <f t="shared" si="18"/>
        <v>135</v>
      </c>
    </row>
    <row r="250" spans="1:7" ht="12.75">
      <c r="A250" t="s">
        <v>30</v>
      </c>
      <c r="B250" s="255">
        <f t="shared" si="18"/>
        <v>11</v>
      </c>
      <c r="C250" s="255">
        <f t="shared" si="18"/>
        <v>11</v>
      </c>
      <c r="D250" s="255">
        <f t="shared" si="18"/>
        <v>11</v>
      </c>
      <c r="E250" s="255">
        <f t="shared" si="18"/>
        <v>8.25</v>
      </c>
      <c r="F250" s="255">
        <f t="shared" si="18"/>
        <v>8.25</v>
      </c>
      <c r="G250" s="255">
        <f t="shared" si="18"/>
        <v>8.25</v>
      </c>
    </row>
    <row r="251" spans="1:7" ht="12.75">
      <c r="A251" t="s">
        <v>32</v>
      </c>
      <c r="B251" s="255">
        <f t="shared" si="18"/>
        <v>33</v>
      </c>
      <c r="C251" s="255">
        <f t="shared" si="18"/>
        <v>33</v>
      </c>
      <c r="D251" s="255">
        <f t="shared" si="18"/>
        <v>33</v>
      </c>
      <c r="E251" s="255">
        <f t="shared" si="18"/>
        <v>33</v>
      </c>
      <c r="F251" s="255">
        <f t="shared" si="18"/>
        <v>33</v>
      </c>
      <c r="G251" s="255">
        <f t="shared" si="18"/>
        <v>33</v>
      </c>
    </row>
    <row r="252" spans="1:7" ht="12.75">
      <c r="A252" t="s">
        <v>42</v>
      </c>
      <c r="B252" s="255">
        <f t="shared" si="18"/>
        <v>452.693</v>
      </c>
      <c r="C252" s="255">
        <f t="shared" si="18"/>
        <v>399.56800000000004</v>
      </c>
      <c r="D252" s="255">
        <f t="shared" si="18"/>
        <v>0</v>
      </c>
      <c r="E252" s="255">
        <f t="shared" si="18"/>
        <v>531.2462222222222</v>
      </c>
      <c r="F252" s="255">
        <f t="shared" si="18"/>
        <v>132.81155555555554</v>
      </c>
      <c r="G252" s="255">
        <f t="shared" si="18"/>
        <v>0</v>
      </c>
    </row>
    <row r="253" spans="1:7" ht="12.75">
      <c r="A253" t="s">
        <v>43</v>
      </c>
      <c r="B253" s="255">
        <f t="shared" si="18"/>
        <v>87.05909090909091</v>
      </c>
      <c r="C253" s="255">
        <f t="shared" si="18"/>
        <v>80.25</v>
      </c>
      <c r="D253" s="255">
        <f t="shared" si="18"/>
        <v>92.89545454545454</v>
      </c>
      <c r="E253" s="255">
        <f t="shared" si="18"/>
        <v>145.90909090909093</v>
      </c>
      <c r="F253" s="255">
        <f t="shared" si="18"/>
        <v>106.6109090909091</v>
      </c>
      <c r="G253" s="255">
        <f t="shared" si="18"/>
        <v>123.86060606060606</v>
      </c>
    </row>
    <row r="254" spans="1:7" ht="12.75">
      <c r="A254" s="149" t="s">
        <v>44</v>
      </c>
      <c r="B254" s="261">
        <f t="shared" si="18"/>
        <v>121.63030303030301</v>
      </c>
      <c r="C254" s="261">
        <f t="shared" si="18"/>
        <v>121.63030303030301</v>
      </c>
      <c r="D254" s="261">
        <f t="shared" si="18"/>
        <v>338.5030303030303</v>
      </c>
      <c r="E254" s="261">
        <f t="shared" si="18"/>
        <v>121.63030303030301</v>
      </c>
      <c r="F254" s="261">
        <f t="shared" si="18"/>
        <v>257.17575757575753</v>
      </c>
      <c r="G254" s="261">
        <f t="shared" si="18"/>
        <v>338.5030303030303</v>
      </c>
    </row>
    <row r="255" spans="1:7" ht="12.75">
      <c r="A255" t="s">
        <v>126</v>
      </c>
      <c r="B255" s="255">
        <f t="shared" si="18"/>
        <v>8408.270000000002</v>
      </c>
      <c r="C255" s="255">
        <f t="shared" si="18"/>
        <v>32401.769999999982</v>
      </c>
      <c r="D255" s="255">
        <f t="shared" si="18"/>
        <v>112579.75</v>
      </c>
      <c r="E255" s="255">
        <f t="shared" si="18"/>
        <v>283435.15200000006</v>
      </c>
      <c r="F255" s="255">
        <f t="shared" si="18"/>
        <v>37062.168000000005</v>
      </c>
      <c r="G255" s="255">
        <f t="shared" si="18"/>
        <v>119195.7</v>
      </c>
    </row>
    <row r="256" spans="1:7" ht="12.75">
      <c r="A256" t="s">
        <v>127</v>
      </c>
      <c r="B256" s="255">
        <f t="shared" si="18"/>
        <v>8697.937181818186</v>
      </c>
      <c r="C256" s="255">
        <f t="shared" si="18"/>
        <v>21111.24399999999</v>
      </c>
      <c r="D256" s="255">
        <f t="shared" si="18"/>
        <v>35623.59090909091</v>
      </c>
      <c r="E256" s="255">
        <f t="shared" si="18"/>
        <v>97128.85281385278</v>
      </c>
      <c r="F256" s="255">
        <f t="shared" si="18"/>
        <v>576.0995670995562</v>
      </c>
      <c r="G256" s="255">
        <f t="shared" si="18"/>
        <v>33747.98701298701</v>
      </c>
    </row>
    <row r="257" spans="1:7" ht="12.75">
      <c r="A257" s="9" t="s">
        <v>130</v>
      </c>
      <c r="B257" s="255"/>
      <c r="C257" s="255"/>
      <c r="D257" s="255"/>
      <c r="E257" s="255"/>
      <c r="F257" s="255"/>
      <c r="G257" s="255"/>
    </row>
    <row r="258" spans="1:7" ht="12.75">
      <c r="A258" t="s">
        <v>31</v>
      </c>
      <c r="B258" s="255">
        <f aca="true" t="shared" si="19" ref="B258:G263">B123</f>
        <v>180</v>
      </c>
      <c r="C258" s="255">
        <f t="shared" si="19"/>
        <v>180</v>
      </c>
      <c r="D258" s="255">
        <f t="shared" si="19"/>
        <v>180</v>
      </c>
      <c r="E258" s="255">
        <f t="shared" si="19"/>
        <v>135</v>
      </c>
      <c r="F258" s="255">
        <f t="shared" si="19"/>
        <v>135</v>
      </c>
      <c r="G258" s="255">
        <f t="shared" si="19"/>
        <v>135</v>
      </c>
    </row>
    <row r="259" spans="1:7" ht="12.75">
      <c r="A259" t="s">
        <v>30</v>
      </c>
      <c r="B259" s="255">
        <f t="shared" si="19"/>
        <v>11</v>
      </c>
      <c r="C259" s="255">
        <f t="shared" si="19"/>
        <v>11</v>
      </c>
      <c r="D259" s="255">
        <f t="shared" si="19"/>
        <v>11</v>
      </c>
      <c r="E259" s="255">
        <f t="shared" si="19"/>
        <v>8.25</v>
      </c>
      <c r="F259" s="255">
        <f t="shared" si="19"/>
        <v>8.25</v>
      </c>
      <c r="G259" s="255">
        <f t="shared" si="19"/>
        <v>8.25</v>
      </c>
    </row>
    <row r="260" spans="1:7" ht="12.75">
      <c r="A260" t="s">
        <v>32</v>
      </c>
      <c r="B260" s="255">
        <f t="shared" si="19"/>
        <v>33</v>
      </c>
      <c r="C260" s="255">
        <f t="shared" si="19"/>
        <v>33</v>
      </c>
      <c r="D260" s="255">
        <f t="shared" si="19"/>
        <v>33</v>
      </c>
      <c r="E260" s="255">
        <f t="shared" si="19"/>
        <v>33</v>
      </c>
      <c r="F260" s="255">
        <f t="shared" si="19"/>
        <v>33</v>
      </c>
      <c r="G260" s="255">
        <f t="shared" si="19"/>
        <v>33</v>
      </c>
    </row>
    <row r="261" spans="1:7" ht="12.75">
      <c r="A261" t="s">
        <v>42</v>
      </c>
      <c r="B261" s="255">
        <f t="shared" si="19"/>
        <v>452.693</v>
      </c>
      <c r="C261" s="255">
        <f t="shared" si="19"/>
        <v>399.56800000000004</v>
      </c>
      <c r="D261" s="255">
        <f t="shared" si="19"/>
        <v>0</v>
      </c>
      <c r="E261" s="255">
        <f t="shared" si="19"/>
        <v>531.2462222222222</v>
      </c>
      <c r="F261" s="255">
        <f t="shared" si="19"/>
        <v>132.81155555555554</v>
      </c>
      <c r="G261" s="255">
        <f t="shared" si="19"/>
        <v>0</v>
      </c>
    </row>
    <row r="262" spans="1:7" ht="12.75">
      <c r="A262" t="s">
        <v>43</v>
      </c>
      <c r="B262" s="255">
        <f t="shared" si="19"/>
        <v>87.05909090909091</v>
      </c>
      <c r="C262" s="255">
        <f t="shared" si="19"/>
        <v>80.25</v>
      </c>
      <c r="D262" s="255">
        <f t="shared" si="19"/>
        <v>92.89545454545454</v>
      </c>
      <c r="E262" s="255">
        <f t="shared" si="19"/>
        <v>145.90909090909093</v>
      </c>
      <c r="F262" s="255">
        <f t="shared" si="19"/>
        <v>106.6109090909091</v>
      </c>
      <c r="G262" s="255">
        <f t="shared" si="19"/>
        <v>123.86060606060606</v>
      </c>
    </row>
    <row r="263" spans="1:7" ht="12.75">
      <c r="A263" s="149" t="s">
        <v>44</v>
      </c>
      <c r="B263" s="261">
        <f t="shared" si="19"/>
        <v>121.63030303030301</v>
      </c>
      <c r="C263" s="261">
        <f t="shared" si="19"/>
        <v>121.63030303030301</v>
      </c>
      <c r="D263" s="261">
        <f t="shared" si="19"/>
        <v>338.5030303030303</v>
      </c>
      <c r="E263" s="261">
        <f t="shared" si="19"/>
        <v>121.63030303030301</v>
      </c>
      <c r="F263" s="261">
        <f t="shared" si="19"/>
        <v>257.17575757575753</v>
      </c>
      <c r="G263" s="261">
        <f t="shared" si="19"/>
        <v>338.5030303030303</v>
      </c>
    </row>
    <row r="264" spans="1:7" ht="12.75">
      <c r="A264" t="s">
        <v>126</v>
      </c>
      <c r="B264" s="255">
        <f aca="true" t="shared" si="20" ref="B264:G264">B129</f>
        <v>8408.270000000002</v>
      </c>
      <c r="C264" s="255">
        <f t="shared" si="20"/>
        <v>32401.769999999982</v>
      </c>
      <c r="D264" s="255">
        <f t="shared" si="20"/>
        <v>112579.75</v>
      </c>
      <c r="E264" s="255">
        <f t="shared" si="20"/>
        <v>283435.15200000006</v>
      </c>
      <c r="F264" s="255">
        <f t="shared" si="20"/>
        <v>37062.168000000005</v>
      </c>
      <c r="G264" s="255">
        <f t="shared" si="20"/>
        <v>119195.7</v>
      </c>
    </row>
    <row r="265" spans="1:7" ht="12.75">
      <c r="A265" t="s">
        <v>127</v>
      </c>
      <c r="B265" s="255">
        <f aca="true" t="shared" si="21" ref="B265:G265">B130</f>
        <v>8697.937181818186</v>
      </c>
      <c r="C265" s="255">
        <f t="shared" si="21"/>
        <v>21111.24399999999</v>
      </c>
      <c r="D265" s="255">
        <f t="shared" si="21"/>
        <v>35623.59090909091</v>
      </c>
      <c r="E265" s="255">
        <f t="shared" si="21"/>
        <v>97128.85281385278</v>
      </c>
      <c r="F265" s="255">
        <f t="shared" si="21"/>
        <v>576.0995670995562</v>
      </c>
      <c r="G265" s="255">
        <f t="shared" si="21"/>
        <v>33747.98701298701</v>
      </c>
    </row>
  </sheetData>
  <sheetProtection password="86A6" sheet="1" objects="1" scenarios="1"/>
  <printOptions/>
  <pageMargins left="0.75" right="0.75" top="1" bottom="1" header="0.5" footer="0.5"/>
  <pageSetup fitToHeight="2" orientation="portrait" scale="61" r:id="rId2"/>
  <headerFooter alignWithMargins="0">
    <oddHeader>&amp;R&amp;D</oddHeader>
    <oddFooter>&amp;LIowa Beef Center</oddFooter>
  </headerFooter>
  <rowBreaks count="1" manualBreakCount="1">
    <brk id="210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3"/>
  <sheetViews>
    <sheetView showRowColHeaders="0" workbookViewId="0" topLeftCell="A1">
      <selection activeCell="C5" sqref="C5:F5"/>
    </sheetView>
  </sheetViews>
  <sheetFormatPr defaultColWidth="9.140625" defaultRowHeight="12.75"/>
  <cols>
    <col min="1" max="1" width="23.421875" style="0" customWidth="1"/>
    <col min="2" max="7" width="15.7109375" style="0" customWidth="1"/>
  </cols>
  <sheetData>
    <row r="1" spans="1:12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6" customFormat="1" ht="15">
      <c r="A2" s="17"/>
      <c r="B2" s="17"/>
      <c r="C2" s="17"/>
      <c r="D2" s="17"/>
      <c r="E2" s="17"/>
      <c r="F2" s="17"/>
      <c r="G2" s="17"/>
      <c r="H2" s="23"/>
      <c r="I2" s="23"/>
      <c r="J2" s="23"/>
      <c r="K2" s="23"/>
      <c r="L2" s="23"/>
    </row>
    <row r="3" spans="1:12" s="16" customFormat="1" ht="44.25" customHeight="1">
      <c r="A3" s="144" t="s">
        <v>151</v>
      </c>
      <c r="B3" s="17"/>
      <c r="C3" s="17"/>
      <c r="D3" s="17"/>
      <c r="E3" s="17"/>
      <c r="F3" s="17"/>
      <c r="G3" s="17"/>
      <c r="H3" s="23"/>
      <c r="I3" s="23"/>
      <c r="J3" s="23"/>
      <c r="K3" s="23"/>
      <c r="L3" s="23"/>
    </row>
    <row r="4" spans="1:12" s="16" customFormat="1" ht="16.5" thickBot="1">
      <c r="A4" s="10" t="s">
        <v>144</v>
      </c>
      <c r="B4" s="22">
        <f>OutPut!B22</f>
        <v>2006</v>
      </c>
      <c r="C4" s="22">
        <f>OutPut!C22</f>
        <v>2007</v>
      </c>
      <c r="D4" s="22">
        <f>OutPut!D22</f>
        <v>2008</v>
      </c>
      <c r="E4" s="22">
        <f>OutPut!E22</f>
        <v>2009</v>
      </c>
      <c r="F4" s="22">
        <f>OutPut!F22</f>
        <v>2010</v>
      </c>
      <c r="G4" s="17"/>
      <c r="H4" s="23"/>
      <c r="I4" s="23"/>
      <c r="J4" s="23"/>
      <c r="K4" s="23"/>
      <c r="L4" s="23"/>
    </row>
    <row r="5" spans="1:12" s="16" customFormat="1" ht="15" customHeight="1">
      <c r="A5" s="57" t="s">
        <v>149</v>
      </c>
      <c r="B5" s="145">
        <v>15000</v>
      </c>
      <c r="C5" s="145">
        <v>15000</v>
      </c>
      <c r="D5" s="145">
        <v>15000</v>
      </c>
      <c r="E5" s="145">
        <v>15000</v>
      </c>
      <c r="F5" s="145">
        <v>15000</v>
      </c>
      <c r="G5" s="17"/>
      <c r="H5" s="23"/>
      <c r="I5" s="23"/>
      <c r="J5" s="23"/>
      <c r="K5" s="23"/>
      <c r="L5" s="23"/>
    </row>
    <row r="6" spans="1:12" s="16" customFormat="1" ht="28.5" customHeight="1" thickBot="1">
      <c r="A6" s="17"/>
      <c r="B6" s="17"/>
      <c r="C6" s="17"/>
      <c r="D6" s="17"/>
      <c r="E6" s="17"/>
      <c r="F6" s="17"/>
      <c r="G6" s="17"/>
      <c r="H6" s="23"/>
      <c r="I6" s="23"/>
      <c r="J6" s="23"/>
      <c r="K6" s="23"/>
      <c r="L6" s="23"/>
    </row>
    <row r="7" spans="1:12" s="16" customFormat="1" ht="15" customHeight="1">
      <c r="A7" s="148" t="s">
        <v>150</v>
      </c>
      <c r="B7" s="95"/>
      <c r="C7" s="95"/>
      <c r="D7" s="95" t="s">
        <v>7</v>
      </c>
      <c r="E7" s="95" t="s">
        <v>15</v>
      </c>
      <c r="F7" s="95" t="s">
        <v>15</v>
      </c>
      <c r="G7" s="95" t="s">
        <v>15</v>
      </c>
      <c r="H7" s="23"/>
      <c r="I7" s="23"/>
      <c r="J7" s="23"/>
      <c r="K7" s="23"/>
      <c r="L7" s="23"/>
    </row>
    <row r="8" spans="1:12" s="16" customFormat="1" ht="15" customHeight="1" thickBot="1">
      <c r="A8" s="10" t="s">
        <v>143</v>
      </c>
      <c r="B8" s="96" t="s">
        <v>17</v>
      </c>
      <c r="C8" s="96" t="s">
        <v>7</v>
      </c>
      <c r="D8" s="96" t="s">
        <v>19</v>
      </c>
      <c r="E8" s="96" t="s">
        <v>20</v>
      </c>
      <c r="F8" s="96" t="s">
        <v>18</v>
      </c>
      <c r="G8" s="96" t="s">
        <v>19</v>
      </c>
      <c r="H8" s="23"/>
      <c r="I8" s="23"/>
      <c r="J8" s="23"/>
      <c r="K8" s="23"/>
      <c r="L8" s="23"/>
    </row>
    <row r="9" spans="1:12" ht="15" customHeight="1">
      <c r="A9" s="57" t="s">
        <v>76</v>
      </c>
      <c r="B9" s="3"/>
      <c r="C9" s="3"/>
      <c r="D9" s="3"/>
      <c r="E9" s="3"/>
      <c r="F9" s="3"/>
      <c r="G9" s="4"/>
      <c r="H9" s="18"/>
      <c r="I9" s="18"/>
      <c r="J9" s="18"/>
      <c r="K9" s="18"/>
      <c r="L9" s="18"/>
    </row>
    <row r="10" spans="1:12" ht="15" customHeight="1">
      <c r="A10" s="58" t="s">
        <v>77</v>
      </c>
      <c r="B10" s="1"/>
      <c r="C10" s="1"/>
      <c r="D10" s="1"/>
      <c r="E10" s="1"/>
      <c r="F10" s="1"/>
      <c r="G10" s="6"/>
      <c r="H10" s="18"/>
      <c r="I10" s="18"/>
      <c r="J10" s="18"/>
      <c r="K10" s="18"/>
      <c r="L10" s="18"/>
    </row>
    <row r="11" spans="1:12" ht="15" customHeight="1">
      <c r="A11" s="58" t="s">
        <v>78</v>
      </c>
      <c r="B11" s="1"/>
      <c r="C11" s="1"/>
      <c r="D11" s="1"/>
      <c r="E11" s="1"/>
      <c r="F11" s="1"/>
      <c r="G11" s="6"/>
      <c r="H11" s="18"/>
      <c r="I11" s="18"/>
      <c r="J11" s="18"/>
      <c r="K11" s="18"/>
      <c r="L11" s="18"/>
    </row>
    <row r="12" spans="1:12" ht="15" customHeight="1">
      <c r="A12" s="58" t="s">
        <v>79</v>
      </c>
      <c r="B12" s="1"/>
      <c r="C12" s="1"/>
      <c r="D12" s="1"/>
      <c r="E12" s="1"/>
      <c r="F12" s="1"/>
      <c r="G12" s="6"/>
      <c r="H12" s="18"/>
      <c r="I12" s="18"/>
      <c r="J12" s="18"/>
      <c r="K12" s="18"/>
      <c r="L12" s="18"/>
    </row>
    <row r="13" spans="1:12" ht="15" customHeight="1" thickBot="1">
      <c r="A13" s="59" t="s">
        <v>80</v>
      </c>
      <c r="B13" s="5"/>
      <c r="C13" s="5"/>
      <c r="D13" s="5"/>
      <c r="E13" s="5"/>
      <c r="F13" s="5"/>
      <c r="G13" s="33"/>
      <c r="H13" s="18"/>
      <c r="I13" s="18"/>
      <c r="J13" s="18"/>
      <c r="K13" s="18"/>
      <c r="L13" s="18"/>
    </row>
    <row r="14" spans="1:12" ht="15" customHeight="1">
      <c r="A14" s="31" t="s">
        <v>145</v>
      </c>
      <c r="B14" s="24"/>
      <c r="C14" s="24"/>
      <c r="D14" s="24"/>
      <c r="E14" s="24"/>
      <c r="F14" s="24"/>
      <c r="G14" s="34"/>
      <c r="H14" s="18"/>
      <c r="I14" s="18"/>
      <c r="J14" s="18"/>
      <c r="K14" s="18"/>
      <c r="L14" s="18"/>
    </row>
    <row r="15" spans="1:12" ht="15" customHeight="1">
      <c r="A15" s="151" t="s">
        <v>147</v>
      </c>
      <c r="B15" s="201"/>
      <c r="C15" s="201"/>
      <c r="D15" s="201"/>
      <c r="E15" s="201"/>
      <c r="F15" s="201"/>
      <c r="G15" s="201"/>
      <c r="H15" s="18"/>
      <c r="I15" s="18"/>
      <c r="J15" s="18"/>
      <c r="K15" s="18"/>
      <c r="L15" s="18"/>
    </row>
    <row r="16" spans="1:12" ht="15" customHeight="1">
      <c r="A16" s="150" t="s">
        <v>154</v>
      </c>
      <c r="B16" s="202"/>
      <c r="C16" s="202"/>
      <c r="D16" s="202"/>
      <c r="E16" s="202"/>
      <c r="F16" s="202"/>
      <c r="G16" s="203"/>
      <c r="H16" s="18"/>
      <c r="I16" s="18"/>
      <c r="J16" s="18"/>
      <c r="K16" s="18"/>
      <c r="L16" s="18"/>
    </row>
    <row r="17" spans="1:12" ht="15" customHeight="1">
      <c r="A17" s="58" t="s">
        <v>81</v>
      </c>
      <c r="B17" s="135"/>
      <c r="C17" s="135"/>
      <c r="D17" s="135"/>
      <c r="E17" s="135"/>
      <c r="F17" s="135"/>
      <c r="G17" s="204"/>
      <c r="H17" s="18"/>
      <c r="I17" s="18"/>
      <c r="J17" s="18"/>
      <c r="K17" s="18"/>
      <c r="L17" s="18"/>
    </row>
    <row r="18" spans="1:12" ht="15" customHeight="1">
      <c r="A18" s="58" t="s">
        <v>82</v>
      </c>
      <c r="B18" s="1"/>
      <c r="C18" s="1"/>
      <c r="D18" s="1"/>
      <c r="E18" s="1"/>
      <c r="F18" s="1"/>
      <c r="G18" s="6"/>
      <c r="H18" s="18"/>
      <c r="I18" s="18"/>
      <c r="J18" s="18"/>
      <c r="K18" s="18"/>
      <c r="L18" s="18"/>
    </row>
    <row r="19" spans="1:12" ht="15" customHeight="1">
      <c r="A19" s="58" t="s">
        <v>83</v>
      </c>
      <c r="B19" s="1"/>
      <c r="C19" s="1"/>
      <c r="D19" s="1"/>
      <c r="E19" s="1"/>
      <c r="F19" s="1"/>
      <c r="G19" s="6"/>
      <c r="H19" s="18"/>
      <c r="I19" s="18"/>
      <c r="J19" s="18"/>
      <c r="K19" s="18"/>
      <c r="L19" s="18"/>
    </row>
    <row r="20" spans="1:12" ht="15" customHeight="1" thickBot="1">
      <c r="A20" s="59" t="s">
        <v>153</v>
      </c>
      <c r="B20" s="5"/>
      <c r="C20" s="5"/>
      <c r="D20" s="5"/>
      <c r="E20" s="5"/>
      <c r="F20" s="5"/>
      <c r="G20" s="33"/>
      <c r="H20" s="18"/>
      <c r="I20" s="18"/>
      <c r="J20" s="18"/>
      <c r="K20" s="18"/>
      <c r="L20" s="18"/>
    </row>
    <row r="21" spans="1:12" ht="15" customHeight="1" thickBot="1">
      <c r="A21" s="31" t="s">
        <v>152</v>
      </c>
      <c r="B21" s="24"/>
      <c r="C21" s="24"/>
      <c r="D21" s="24"/>
      <c r="E21" s="24"/>
      <c r="F21" s="24"/>
      <c r="G21" s="34"/>
      <c r="H21" s="18"/>
      <c r="I21" s="18"/>
      <c r="J21" s="18"/>
      <c r="K21" s="18"/>
      <c r="L21" s="18"/>
    </row>
    <row r="22" spans="1:12" ht="15" customHeight="1">
      <c r="A22" s="57" t="s">
        <v>146</v>
      </c>
      <c r="B22" s="2">
        <v>8</v>
      </c>
      <c r="C22" s="2">
        <v>8</v>
      </c>
      <c r="D22" s="2">
        <v>8</v>
      </c>
      <c r="E22" s="2">
        <v>8</v>
      </c>
      <c r="F22" s="2">
        <v>8</v>
      </c>
      <c r="G22" s="32">
        <v>8</v>
      </c>
      <c r="H22" s="18"/>
      <c r="I22" s="18"/>
      <c r="J22" s="18"/>
      <c r="K22" s="18"/>
      <c r="L22" s="18"/>
    </row>
    <row r="23" spans="1:12" ht="15" customHeight="1">
      <c r="A23" s="136" t="s">
        <v>159</v>
      </c>
      <c r="B23" s="1">
        <v>5000</v>
      </c>
      <c r="C23" s="1">
        <v>5000</v>
      </c>
      <c r="D23" s="1">
        <v>5000</v>
      </c>
      <c r="E23" s="1">
        <v>5000</v>
      </c>
      <c r="F23" s="1">
        <v>5000</v>
      </c>
      <c r="G23" s="1">
        <v>5000</v>
      </c>
      <c r="H23" s="45">
        <f>IF(OutPut!$B$12=1,Money!B23,IF(OutPut!$B$12=2,Money!C23,IF(OutPut!$B$12=3,Money!D23,IF(OutPut!$B$12=4,Money!E23,IF(OutPut!$B$12=5,Money!F23,Money!G23)))))</f>
        <v>5000</v>
      </c>
      <c r="I23" s="18"/>
      <c r="J23" s="18"/>
      <c r="K23" s="18"/>
      <c r="L23" s="18"/>
    </row>
    <row r="24" spans="1:12" ht="15" customHeight="1">
      <c r="A24" s="155" t="s">
        <v>160</v>
      </c>
      <c r="B24" s="1">
        <v>4000</v>
      </c>
      <c r="C24" s="1">
        <v>4000</v>
      </c>
      <c r="D24" s="1">
        <v>4000</v>
      </c>
      <c r="E24" s="1">
        <v>4000</v>
      </c>
      <c r="F24" s="1">
        <v>4000</v>
      </c>
      <c r="G24" s="1">
        <v>4000</v>
      </c>
      <c r="H24" s="45">
        <f>IF(OutPut!$B$12=1,Money!B24,IF(OutPut!$B$12=2,Money!C24,IF(OutPut!$B$12=3,Money!D24,IF(OutPut!$B$12=4,Money!E24,IF(OutPut!$B$12=5,Money!F24,Money!G24)))))</f>
        <v>4000</v>
      </c>
      <c r="I24" s="18"/>
      <c r="J24" s="18"/>
      <c r="K24" s="18"/>
      <c r="L24" s="18"/>
    </row>
    <row r="25" spans="1:12" ht="15" customHeight="1">
      <c r="A25" s="155" t="s">
        <v>161</v>
      </c>
      <c r="B25" s="1">
        <v>3000</v>
      </c>
      <c r="C25" s="1">
        <v>3000</v>
      </c>
      <c r="D25" s="1">
        <v>3000</v>
      </c>
      <c r="E25" s="1">
        <v>3000</v>
      </c>
      <c r="F25" s="1">
        <v>3000</v>
      </c>
      <c r="G25" s="1">
        <v>3000</v>
      </c>
      <c r="H25" s="45">
        <f>IF(OutPut!$B$12=1,Money!B25,IF(OutPut!$B$12=2,Money!C25,IF(OutPut!$B$12=3,Money!D25,IF(OutPut!$B$12=4,Money!E25,IF(OutPut!$B$12=5,Money!F25,Money!G25)))))</f>
        <v>3000</v>
      </c>
      <c r="I25" s="18"/>
      <c r="J25" s="18"/>
      <c r="K25" s="18"/>
      <c r="L25" s="18"/>
    </row>
    <row r="26" spans="1:12" ht="15" customHeight="1">
      <c r="A26" s="155" t="s">
        <v>162</v>
      </c>
      <c r="B26" s="1">
        <v>2000</v>
      </c>
      <c r="C26" s="1">
        <v>2000</v>
      </c>
      <c r="D26" s="1">
        <v>2000</v>
      </c>
      <c r="E26" s="1">
        <v>2000</v>
      </c>
      <c r="F26" s="1">
        <v>2000</v>
      </c>
      <c r="G26" s="1">
        <v>2000</v>
      </c>
      <c r="H26" s="45">
        <f>IF(OutPut!$B$12=1,Money!B26,IF(OutPut!$B$12=2,Money!C26,IF(OutPut!$B$12=3,Money!D26,IF(OutPut!$B$12=4,Money!E26,IF(OutPut!$B$12=5,Money!F26,Money!G26)))))</f>
        <v>2000</v>
      </c>
      <c r="I26" s="18"/>
      <c r="J26" s="18"/>
      <c r="K26" s="18"/>
      <c r="L26" s="18"/>
    </row>
    <row r="27" spans="1:12" ht="15" customHeight="1">
      <c r="A27" s="155" t="s">
        <v>163</v>
      </c>
      <c r="B27" s="1">
        <v>1000</v>
      </c>
      <c r="C27" s="1">
        <v>1000</v>
      </c>
      <c r="D27" s="1">
        <v>1000</v>
      </c>
      <c r="E27" s="1">
        <v>1000</v>
      </c>
      <c r="F27" s="1">
        <v>1000</v>
      </c>
      <c r="G27" s="1">
        <v>1000</v>
      </c>
      <c r="H27" s="45">
        <f>IF(OutPut!$B$12=1,Money!B27,IF(OutPut!$B$12=2,Money!C27,IF(OutPut!$B$12=3,Money!D27,IF(OutPut!$B$12=4,Money!E27,IF(OutPut!$B$12=5,Money!F27,Money!G27)))))</f>
        <v>1000</v>
      </c>
      <c r="I27" s="18"/>
      <c r="J27" s="18"/>
      <c r="K27" s="18"/>
      <c r="L27" s="18"/>
    </row>
    <row r="28" spans="1:12" ht="15" customHeight="1">
      <c r="A28" s="128">
        <v>1</v>
      </c>
      <c r="B28" s="128">
        <f aca="true" t="shared" si="0" ref="B28:G30">B23*B$22*0.01</f>
        <v>400</v>
      </c>
      <c r="C28" s="128">
        <f t="shared" si="0"/>
        <v>400</v>
      </c>
      <c r="D28" s="128">
        <f t="shared" si="0"/>
        <v>400</v>
      </c>
      <c r="E28" s="128">
        <f t="shared" si="0"/>
        <v>400</v>
      </c>
      <c r="F28" s="128">
        <f t="shared" si="0"/>
        <v>400</v>
      </c>
      <c r="G28" s="128">
        <f t="shared" si="0"/>
        <v>400</v>
      </c>
      <c r="H28" s="45">
        <f>IF(OutPut!$B$12=1,Money!B28,IF(OutPut!$B$12=2,Money!C28,IF(OutPut!$B$12=3,Money!D28,IF(OutPut!$B$12=4,Money!E28,IF(OutPut!$B$12=5,Money!F28,Money!G28)))))</f>
        <v>400</v>
      </c>
      <c r="I28" s="45"/>
      <c r="J28" s="45"/>
      <c r="K28" s="18"/>
      <c r="L28" s="18"/>
    </row>
    <row r="29" spans="1:12" ht="15" customHeight="1">
      <c r="A29" s="128">
        <v>2</v>
      </c>
      <c r="B29" s="128">
        <f t="shared" si="0"/>
        <v>320</v>
      </c>
      <c r="C29" s="128">
        <f t="shared" si="0"/>
        <v>320</v>
      </c>
      <c r="D29" s="128">
        <f t="shared" si="0"/>
        <v>320</v>
      </c>
      <c r="E29" s="128">
        <f t="shared" si="0"/>
        <v>320</v>
      </c>
      <c r="F29" s="128">
        <f t="shared" si="0"/>
        <v>320</v>
      </c>
      <c r="G29" s="128">
        <f t="shared" si="0"/>
        <v>320</v>
      </c>
      <c r="H29" s="45">
        <f>IF(OutPut!$B$12=1,Money!B29,IF(OutPut!$B$12=2,Money!C29,IF(OutPut!$B$12=3,Money!D29,IF(OutPut!$B$12=4,Money!E29,IF(OutPut!$B$12=5,Money!F29,Money!G29)))))</f>
        <v>320</v>
      </c>
      <c r="I29" s="45"/>
      <c r="J29" s="45"/>
      <c r="K29" s="18"/>
      <c r="L29" s="18"/>
    </row>
    <row r="30" spans="1:12" ht="15" customHeight="1">
      <c r="A30" s="128">
        <v>3</v>
      </c>
      <c r="B30" s="128">
        <f t="shared" si="0"/>
        <v>240</v>
      </c>
      <c r="C30" s="128">
        <f t="shared" si="0"/>
        <v>240</v>
      </c>
      <c r="D30" s="128">
        <f t="shared" si="0"/>
        <v>240</v>
      </c>
      <c r="E30" s="128">
        <f t="shared" si="0"/>
        <v>240</v>
      </c>
      <c r="F30" s="128">
        <f t="shared" si="0"/>
        <v>240</v>
      </c>
      <c r="G30" s="128">
        <f t="shared" si="0"/>
        <v>240</v>
      </c>
      <c r="H30" s="45">
        <f>IF(OutPut!$B$12=1,Money!B30,IF(OutPut!$B$12=2,Money!C30,IF(OutPut!$B$12=3,Money!D30,IF(OutPut!$B$12=4,Money!E30,IF(OutPut!$B$12=5,Money!F30,Money!G30)))))</f>
        <v>240</v>
      </c>
      <c r="I30" s="45"/>
      <c r="J30" s="45"/>
      <c r="K30" s="18"/>
      <c r="L30" s="18"/>
    </row>
    <row r="31" spans="1:12" ht="15" customHeight="1">
      <c r="A31" s="128">
        <v>4</v>
      </c>
      <c r="B31" s="128">
        <f aca="true" t="shared" si="1" ref="B31:G31">B26*B$22*0.01</f>
        <v>160</v>
      </c>
      <c r="C31" s="128">
        <f t="shared" si="1"/>
        <v>160</v>
      </c>
      <c r="D31" s="128">
        <f t="shared" si="1"/>
        <v>160</v>
      </c>
      <c r="E31" s="128">
        <f t="shared" si="1"/>
        <v>160</v>
      </c>
      <c r="F31" s="128">
        <f t="shared" si="1"/>
        <v>160</v>
      </c>
      <c r="G31" s="128">
        <f t="shared" si="1"/>
        <v>160</v>
      </c>
      <c r="H31" s="45">
        <f>IF(OutPut!$B$12=1,Money!B31,IF(OutPut!$B$12=2,Money!C31,IF(OutPut!$B$12=3,Money!D31,IF(OutPut!$B$12=4,Money!E31,IF(OutPut!$B$12=5,Money!F31,Money!G31)))))</f>
        <v>160</v>
      </c>
      <c r="I31" s="45"/>
      <c r="J31" s="45"/>
      <c r="K31" s="18"/>
      <c r="L31" s="18"/>
    </row>
    <row r="32" spans="1:12" ht="15" customHeight="1">
      <c r="A32" s="128">
        <v>5</v>
      </c>
      <c r="B32" s="128">
        <f aca="true" t="shared" si="2" ref="B32:G32">B27*B$22*0.01</f>
        <v>80</v>
      </c>
      <c r="C32" s="128">
        <f t="shared" si="2"/>
        <v>80</v>
      </c>
      <c r="D32" s="128">
        <f t="shared" si="2"/>
        <v>80</v>
      </c>
      <c r="E32" s="128">
        <f t="shared" si="2"/>
        <v>80</v>
      </c>
      <c r="F32" s="128">
        <f t="shared" si="2"/>
        <v>80</v>
      </c>
      <c r="G32" s="128">
        <f t="shared" si="2"/>
        <v>80</v>
      </c>
      <c r="H32" s="45">
        <f>IF(OutPut!$B$12=1,Money!B32,IF(OutPut!$B$12=2,Money!C32,IF(OutPut!$B$12=3,Money!D32,IF(OutPut!$B$12=4,Money!E32,IF(OutPut!$B$12=5,Money!F32,Money!G32)))))</f>
        <v>80</v>
      </c>
      <c r="I32" s="45"/>
      <c r="J32" s="45"/>
      <c r="K32" s="18"/>
      <c r="L32" s="18"/>
    </row>
    <row r="33" spans="1:12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18"/>
      <c r="L33" s="18"/>
    </row>
    <row r="34" spans="1:12" ht="12.75">
      <c r="A34" s="45"/>
      <c r="B34" s="45">
        <f aca="true" t="shared" si="3" ref="B34:G34">IF(B$15=1,B$17,0)</f>
        <v>0</v>
      </c>
      <c r="C34" s="45">
        <f t="shared" si="3"/>
        <v>0</v>
      </c>
      <c r="D34" s="45">
        <f t="shared" si="3"/>
        <v>0</v>
      </c>
      <c r="E34" s="45">
        <f t="shared" si="3"/>
        <v>0</v>
      </c>
      <c r="F34" s="45">
        <f t="shared" si="3"/>
        <v>0</v>
      </c>
      <c r="G34" s="45">
        <f t="shared" si="3"/>
        <v>0</v>
      </c>
      <c r="H34" s="45"/>
      <c r="I34" s="45"/>
      <c r="J34" s="45"/>
      <c r="K34" s="18"/>
      <c r="L34" s="18"/>
    </row>
    <row r="35" spans="1:12" ht="12.75">
      <c r="A35" s="45"/>
      <c r="B35" s="45">
        <f aca="true" t="shared" si="4" ref="B35:G35">IF(B$15=2,B$17,0)</f>
        <v>0</v>
      </c>
      <c r="C35" s="45">
        <f t="shared" si="4"/>
        <v>0</v>
      </c>
      <c r="D35" s="45">
        <f t="shared" si="4"/>
        <v>0</v>
      </c>
      <c r="E35" s="45">
        <f t="shared" si="4"/>
        <v>0</v>
      </c>
      <c r="F35" s="45">
        <f t="shared" si="4"/>
        <v>0</v>
      </c>
      <c r="G35" s="45">
        <f t="shared" si="4"/>
        <v>0</v>
      </c>
      <c r="H35" s="45"/>
      <c r="I35" s="45"/>
      <c r="J35" s="45"/>
      <c r="K35" s="18"/>
      <c r="L35" s="18"/>
    </row>
    <row r="36" spans="1:12" ht="12.75">
      <c r="A36" s="45"/>
      <c r="B36" s="45">
        <f aca="true" t="shared" si="5" ref="B36:G36">IF(B$15=3,B$17,0)</f>
        <v>0</v>
      </c>
      <c r="C36" s="45">
        <f t="shared" si="5"/>
        <v>0</v>
      </c>
      <c r="D36" s="45">
        <f t="shared" si="5"/>
        <v>0</v>
      </c>
      <c r="E36" s="45">
        <f t="shared" si="5"/>
        <v>0</v>
      </c>
      <c r="F36" s="45">
        <f t="shared" si="5"/>
        <v>0</v>
      </c>
      <c r="G36" s="45">
        <f t="shared" si="5"/>
        <v>0</v>
      </c>
      <c r="H36" s="45"/>
      <c r="I36" s="45"/>
      <c r="J36" s="45"/>
      <c r="K36" s="18"/>
      <c r="L36" s="18"/>
    </row>
    <row r="37" spans="1:12" ht="12.75">
      <c r="A37" s="45"/>
      <c r="B37" s="45">
        <f aca="true" t="shared" si="6" ref="B37:G37">IF(B$15=4,B$17,0)</f>
        <v>0</v>
      </c>
      <c r="C37" s="45">
        <f t="shared" si="6"/>
        <v>0</v>
      </c>
      <c r="D37" s="45">
        <f t="shared" si="6"/>
        <v>0</v>
      </c>
      <c r="E37" s="45">
        <f t="shared" si="6"/>
        <v>0</v>
      </c>
      <c r="F37" s="45">
        <f t="shared" si="6"/>
        <v>0</v>
      </c>
      <c r="G37" s="45">
        <f t="shared" si="6"/>
        <v>0</v>
      </c>
      <c r="H37" s="45"/>
      <c r="I37" s="45"/>
      <c r="J37" s="45"/>
      <c r="K37" s="18"/>
      <c r="L37" s="18"/>
    </row>
    <row r="38" spans="1:12" ht="12.75">
      <c r="A38" s="193"/>
      <c r="B38" s="193">
        <f aca="true" t="shared" si="7" ref="B38:G38">IF(B$15=5,B$17,0)</f>
        <v>0</v>
      </c>
      <c r="C38" s="193">
        <f t="shared" si="7"/>
        <v>0</v>
      </c>
      <c r="D38" s="193">
        <f t="shared" si="7"/>
        <v>0</v>
      </c>
      <c r="E38" s="193">
        <f t="shared" si="7"/>
        <v>0</v>
      </c>
      <c r="F38" s="193">
        <f t="shared" si="7"/>
        <v>0</v>
      </c>
      <c r="G38" s="193">
        <f t="shared" si="7"/>
        <v>0</v>
      </c>
      <c r="H38" s="45"/>
      <c r="I38" s="45"/>
      <c r="J38" s="45"/>
      <c r="K38" s="18"/>
      <c r="L38" s="18"/>
    </row>
    <row r="39" spans="1:12" ht="12.75">
      <c r="A39" s="128">
        <f>IF(OutPut!B12=1,Money!B17,IF(OutPut!B12=2,Money!C17,IF(OutPut!B12=3,Money!D17,IF(OutPut!B12=4,Money!E17,IF(OutPut!B12=5,Money!F17,Money!G17)))))</f>
        <v>0</v>
      </c>
      <c r="B39" s="128"/>
      <c r="C39" s="128"/>
      <c r="D39" s="128"/>
      <c r="E39" s="128"/>
      <c r="F39" s="128"/>
      <c r="G39" s="128"/>
      <c r="H39" s="45"/>
      <c r="I39" s="45"/>
      <c r="J39" s="45"/>
      <c r="K39" s="18"/>
      <c r="L39" s="18"/>
    </row>
    <row r="40" spans="1:12" ht="12.75">
      <c r="A40" s="46">
        <f>IF(OutPut!B12=1,Money!B19,IF(OutPut!B12=2,Money!C19,IF(OutPut!B12=3,Money!D19,IF(OutPut!B12=4,Money!E19,IF(OutPut!B12=5,Money!F19,Money!G19)))))*0.01</f>
        <v>0</v>
      </c>
      <c r="B40" s="45"/>
      <c r="C40" s="45"/>
      <c r="D40" s="45"/>
      <c r="E40" s="45"/>
      <c r="F40" s="45"/>
      <c r="G40" s="45"/>
      <c r="H40" s="45"/>
      <c r="I40" s="45"/>
      <c r="J40" s="45"/>
      <c r="K40" s="18"/>
      <c r="L40" s="18"/>
    </row>
    <row r="41" spans="1:12" ht="12.75">
      <c r="A41" s="45">
        <f>IF(OutPut!B12=1,Money!B16,IF(OutPut!B12=2,Money!C16,IF(OutPut!B12=3,Money!D16,IF(OutPut!B12=4,Money!E16,IF(OutPut!B12=5,Money!F16,Money!G16)))))</f>
        <v>0</v>
      </c>
      <c r="B41" s="45"/>
      <c r="C41" s="45"/>
      <c r="D41" s="45"/>
      <c r="E41" s="45"/>
      <c r="F41" s="45"/>
      <c r="G41" s="45"/>
      <c r="H41" s="45"/>
      <c r="I41" s="45"/>
      <c r="J41" s="45"/>
      <c r="K41" s="18"/>
      <c r="L41" s="18"/>
    </row>
    <row r="42" spans="1:12" ht="12.75">
      <c r="A42" s="45">
        <f>IF(OutPut!B12=1,Money!B15,IF(OutPut!B12=2,Money!C15,IF(OutPut!B12=3,Money!D15,IF(OutPut!B12=4,Money!E15,IF(OutPut!B12=5,Money!F15,Money!G15)))))</f>
        <v>0</v>
      </c>
      <c r="B42" s="45"/>
      <c r="C42" s="45"/>
      <c r="D42" s="45"/>
      <c r="E42" s="45"/>
      <c r="F42" s="45"/>
      <c r="G42" s="45"/>
      <c r="H42" s="45"/>
      <c r="I42" s="45"/>
      <c r="J42" s="45"/>
      <c r="K42" s="18"/>
      <c r="L42" s="18"/>
    </row>
    <row r="43" spans="1:23" s="56" customFormat="1" ht="12.75">
      <c r="A43" s="45">
        <f>IF(OutPut!B12=1,Money!B20,IF(OutPut!B12=2,Money!C20,IF(OutPut!B12=3,Money!D20,IF(OutPut!B12=4,Money!E20,IF(OutPut!B12=5,Money!F20,Money!G20)))))</f>
        <v>0</v>
      </c>
      <c r="B43" s="45"/>
      <c r="C43" s="45"/>
      <c r="D43" s="45"/>
      <c r="E43" s="45"/>
      <c r="F43" s="45"/>
      <c r="G43" s="45"/>
      <c r="H43" s="45"/>
      <c r="I43" s="45"/>
      <c r="J43" s="45"/>
      <c r="K43" s="192"/>
      <c r="L43" s="192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</row>
    <row r="44" spans="1:25" s="56" customFormat="1" ht="14.25">
      <c r="A44" s="194" t="s">
        <v>84</v>
      </c>
      <c r="B44" s="45"/>
      <c r="C44" s="194" t="s">
        <v>85</v>
      </c>
      <c r="D44" s="195"/>
      <c r="E44" s="194" t="s">
        <v>86</v>
      </c>
      <c r="F44" s="45"/>
      <c r="G44" s="45"/>
      <c r="H44" s="45"/>
      <c r="I44" s="45"/>
      <c r="J44" s="45"/>
      <c r="K44" s="18"/>
      <c r="L44" s="18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56" customFormat="1" ht="15">
      <c r="A45" s="196">
        <f>IF(AND(A$42=1,A$42*A$41=1),1,0)</f>
        <v>0</v>
      </c>
      <c r="B45" s="45">
        <f>IF(A45&gt;0,A43,0)</f>
        <v>0</v>
      </c>
      <c r="C45" s="197">
        <f>IF(B45&lt;1,0,PPMT($A$40/12,12,A$43,A$39))*-1</f>
        <v>0</v>
      </c>
      <c r="D45" s="198"/>
      <c r="E45" s="199">
        <f>IF(B45&lt;1,0,IPMT($A$40/12,12,A$43,A$39))*-1</f>
        <v>0</v>
      </c>
      <c r="F45" s="198"/>
      <c r="G45" s="45"/>
      <c r="H45" s="45"/>
      <c r="I45" s="45"/>
      <c r="J45" s="45"/>
      <c r="K45" s="18"/>
      <c r="L45" s="18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56" customFormat="1" ht="15">
      <c r="A46" s="196">
        <f>IF(AND(A$42=1,A$42*A$41=2),1,0)</f>
        <v>0</v>
      </c>
      <c r="B46" s="45">
        <f>IF(A46&gt;0,A$43,B45-1)</f>
        <v>-1</v>
      </c>
      <c r="C46" s="197">
        <f aca="true" t="shared" si="8" ref="C46:C104">IF(B46&lt;1,0,PPMT($A$40/12,12,A$43,A$39))*-1</f>
        <v>0</v>
      </c>
      <c r="D46" s="198"/>
      <c r="E46" s="199">
        <f aca="true" t="shared" si="9" ref="E46:E104">IF(B46&lt;1,0,IPMT($A$40/12,12,A$43,A$39))*-1</f>
        <v>0</v>
      </c>
      <c r="F46" s="198"/>
      <c r="G46" s="45"/>
      <c r="H46" s="45"/>
      <c r="I46" s="45"/>
      <c r="J46" s="45"/>
      <c r="K46" s="18"/>
      <c r="L46" s="18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56" customFormat="1" ht="15">
      <c r="A47" s="196">
        <f>IF(AND(A$42=1,A$42*A$41=3),1,0)</f>
        <v>0</v>
      </c>
      <c r="B47" s="45">
        <f aca="true" t="shared" si="10" ref="B47:B104">IF(A47&gt;0,A$43,B46-1)</f>
        <v>-2</v>
      </c>
      <c r="C47" s="197">
        <f t="shared" si="8"/>
        <v>0</v>
      </c>
      <c r="D47" s="198"/>
      <c r="E47" s="199">
        <f t="shared" si="9"/>
        <v>0</v>
      </c>
      <c r="F47" s="198"/>
      <c r="G47" s="45"/>
      <c r="H47" s="45"/>
      <c r="I47" s="45"/>
      <c r="J47" s="45"/>
      <c r="K47" s="18"/>
      <c r="L47" s="18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56" customFormat="1" ht="15">
      <c r="A48" s="196">
        <f>IF(AND(A$42=1,A$42*A$41=4),1,0)</f>
        <v>0</v>
      </c>
      <c r="B48" s="45">
        <f t="shared" si="10"/>
        <v>-3</v>
      </c>
      <c r="C48" s="197">
        <f t="shared" si="8"/>
        <v>0</v>
      </c>
      <c r="D48" s="198"/>
      <c r="E48" s="199">
        <f t="shared" si="9"/>
        <v>0</v>
      </c>
      <c r="F48" s="198"/>
      <c r="G48" s="45"/>
      <c r="H48" s="45"/>
      <c r="I48" s="45"/>
      <c r="J48" s="45"/>
      <c r="K48" s="18"/>
      <c r="L48" s="1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56" customFormat="1" ht="15">
      <c r="A49" s="196">
        <f>IF(AND(A$42=1,A$42*A$41=5),1,0)</f>
        <v>0</v>
      </c>
      <c r="B49" s="45">
        <f t="shared" si="10"/>
        <v>-4</v>
      </c>
      <c r="C49" s="197">
        <f t="shared" si="8"/>
        <v>0</v>
      </c>
      <c r="D49" s="198"/>
      <c r="E49" s="199">
        <f t="shared" si="9"/>
        <v>0</v>
      </c>
      <c r="F49" s="198"/>
      <c r="G49" s="45"/>
      <c r="H49" s="45"/>
      <c r="I49" s="45"/>
      <c r="J49" s="45"/>
      <c r="K49" s="18"/>
      <c r="L49" s="18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56" customFormat="1" ht="15">
      <c r="A50" s="196">
        <f>IF(AND(A$42=1,A$42*A$41=6),1,0)</f>
        <v>0</v>
      </c>
      <c r="B50" s="45">
        <f t="shared" si="10"/>
        <v>-5</v>
      </c>
      <c r="C50" s="197">
        <f t="shared" si="8"/>
        <v>0</v>
      </c>
      <c r="D50" s="199"/>
      <c r="E50" s="199">
        <f t="shared" si="9"/>
        <v>0</v>
      </c>
      <c r="F50" s="199"/>
      <c r="G50" s="45"/>
      <c r="H50" s="45"/>
      <c r="I50" s="45"/>
      <c r="J50" s="45"/>
      <c r="K50" s="18"/>
      <c r="L50" s="18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56" customFormat="1" ht="15">
      <c r="A51" s="196">
        <f>IF(AND(A$42=1,A$42*A$41=7),1,0)</f>
        <v>0</v>
      </c>
      <c r="B51" s="45">
        <f t="shared" si="10"/>
        <v>-6</v>
      </c>
      <c r="C51" s="197">
        <f t="shared" si="8"/>
        <v>0</v>
      </c>
      <c r="D51" s="199"/>
      <c r="E51" s="199">
        <f t="shared" si="9"/>
        <v>0</v>
      </c>
      <c r="F51" s="199"/>
      <c r="G51" s="45"/>
      <c r="H51" s="45"/>
      <c r="I51" s="45"/>
      <c r="J51" s="45"/>
      <c r="K51" s="18"/>
      <c r="L51" s="18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56" customFormat="1" ht="15">
      <c r="A52" s="196">
        <f>IF(AND(A$42=1,A$42*A$41=8),1,0)</f>
        <v>0</v>
      </c>
      <c r="B52" s="45">
        <f t="shared" si="10"/>
        <v>-7</v>
      </c>
      <c r="C52" s="197">
        <f t="shared" si="8"/>
        <v>0</v>
      </c>
      <c r="D52" s="199"/>
      <c r="E52" s="199">
        <f t="shared" si="9"/>
        <v>0</v>
      </c>
      <c r="F52" s="199"/>
      <c r="G52" s="45"/>
      <c r="H52" s="45"/>
      <c r="I52" s="45"/>
      <c r="J52" s="45"/>
      <c r="K52" s="18"/>
      <c r="L52" s="18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56" customFormat="1" ht="15">
      <c r="A53" s="196">
        <f>IF(AND(A$42=1,A$42*A$41=9),1,0)</f>
        <v>0</v>
      </c>
      <c r="B53" s="45">
        <f t="shared" si="10"/>
        <v>-8</v>
      </c>
      <c r="C53" s="197">
        <f t="shared" si="8"/>
        <v>0</v>
      </c>
      <c r="D53" s="199"/>
      <c r="E53" s="199">
        <f t="shared" si="9"/>
        <v>0</v>
      </c>
      <c r="F53" s="199"/>
      <c r="G53" s="45"/>
      <c r="H53" s="45"/>
      <c r="I53" s="45"/>
      <c r="J53" s="45"/>
      <c r="K53" s="18"/>
      <c r="L53" s="18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56" customFormat="1" ht="15">
      <c r="A54" s="196">
        <f>IF(AND(A$42=1,A$42*A$41=10),1,0)</f>
        <v>0</v>
      </c>
      <c r="B54" s="45">
        <f t="shared" si="10"/>
        <v>-9</v>
      </c>
      <c r="C54" s="197">
        <f t="shared" si="8"/>
        <v>0</v>
      </c>
      <c r="D54" s="199"/>
      <c r="E54" s="199">
        <f t="shared" si="9"/>
        <v>0</v>
      </c>
      <c r="F54" s="199"/>
      <c r="G54" s="45"/>
      <c r="H54" s="45"/>
      <c r="I54" s="45"/>
      <c r="J54" s="45"/>
      <c r="K54" s="18"/>
      <c r="L54" s="18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56" customFormat="1" ht="15">
      <c r="A55" s="196">
        <f>IF(AND(A$42=1,A$42*A$41=11),1,0)</f>
        <v>0</v>
      </c>
      <c r="B55" s="45">
        <f t="shared" si="10"/>
        <v>-10</v>
      </c>
      <c r="C55" s="197">
        <f t="shared" si="8"/>
        <v>0</v>
      </c>
      <c r="D55" s="199"/>
      <c r="E55" s="199">
        <f t="shared" si="9"/>
        <v>0</v>
      </c>
      <c r="F55" s="199"/>
      <c r="G55" s="45"/>
      <c r="H55" s="45"/>
      <c r="I55" s="45"/>
      <c r="J55" s="45"/>
      <c r="K55" s="18"/>
      <c r="L55" s="18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56" customFormat="1" ht="15">
      <c r="A56" s="200">
        <f>IF(AND(A$42=1,A$42*A$41=12),1,0)</f>
        <v>0</v>
      </c>
      <c r="B56" s="45">
        <f t="shared" si="10"/>
        <v>-11</v>
      </c>
      <c r="C56" s="197">
        <f t="shared" si="8"/>
        <v>0</v>
      </c>
      <c r="D56" s="199">
        <f>SUM(C45:C56)</f>
        <v>0</v>
      </c>
      <c r="E56" s="199">
        <f t="shared" si="9"/>
        <v>0</v>
      </c>
      <c r="F56" s="199">
        <f>SUM(E45:E56)</f>
        <v>0</v>
      </c>
      <c r="G56" s="45"/>
      <c r="H56" s="45"/>
      <c r="I56" s="45"/>
      <c r="J56" s="45"/>
      <c r="K56" s="18"/>
      <c r="L56" s="18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s="56" customFormat="1" ht="15">
      <c r="A57" s="196">
        <f>IF(AND(A$42=2,A$42*A$41=2),1,0)</f>
        <v>0</v>
      </c>
      <c r="B57" s="45">
        <f t="shared" si="10"/>
        <v>-12</v>
      </c>
      <c r="C57" s="197">
        <f t="shared" si="8"/>
        <v>0</v>
      </c>
      <c r="D57" s="198"/>
      <c r="E57" s="199">
        <f t="shared" si="9"/>
        <v>0</v>
      </c>
      <c r="F57" s="198"/>
      <c r="G57" s="45"/>
      <c r="H57" s="45"/>
      <c r="I57" s="45"/>
      <c r="J57" s="45"/>
      <c r="K57" s="18"/>
      <c r="L57" s="18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12" ht="15">
      <c r="A58" s="196">
        <f>IF(AND(A$42=2,A$42*A$41=4),1,0)</f>
        <v>0</v>
      </c>
      <c r="B58" s="45">
        <f t="shared" si="10"/>
        <v>-13</v>
      </c>
      <c r="C58" s="197">
        <f t="shared" si="8"/>
        <v>0</v>
      </c>
      <c r="D58" s="198"/>
      <c r="E58" s="199">
        <f t="shared" si="9"/>
        <v>0</v>
      </c>
      <c r="F58" s="198"/>
      <c r="G58" s="45"/>
      <c r="H58" s="45"/>
      <c r="I58" s="45"/>
      <c r="J58" s="45"/>
      <c r="K58" s="18"/>
      <c r="L58" s="18"/>
    </row>
    <row r="59" spans="1:12" ht="15">
      <c r="A59" s="196">
        <f>IF(AND(A$42=2,A$42*A$41=6),1,0)</f>
        <v>0</v>
      </c>
      <c r="B59" s="45">
        <f t="shared" si="10"/>
        <v>-14</v>
      </c>
      <c r="C59" s="197">
        <f t="shared" si="8"/>
        <v>0</v>
      </c>
      <c r="D59" s="198"/>
      <c r="E59" s="199">
        <f t="shared" si="9"/>
        <v>0</v>
      </c>
      <c r="F59" s="198"/>
      <c r="G59" s="45"/>
      <c r="H59" s="45"/>
      <c r="I59" s="45"/>
      <c r="J59" s="45"/>
      <c r="K59" s="18"/>
      <c r="L59" s="18"/>
    </row>
    <row r="60" spans="1:12" ht="15">
      <c r="A60" s="196">
        <f>IF(AND(A$42=2,A$42*A$41=8),1,0)</f>
        <v>0</v>
      </c>
      <c r="B60" s="45">
        <f t="shared" si="10"/>
        <v>-15</v>
      </c>
      <c r="C60" s="197">
        <f t="shared" si="8"/>
        <v>0</v>
      </c>
      <c r="D60" s="198"/>
      <c r="E60" s="199">
        <f t="shared" si="9"/>
        <v>0</v>
      </c>
      <c r="F60" s="198"/>
      <c r="G60" s="45"/>
      <c r="H60" s="45"/>
      <c r="I60" s="45"/>
      <c r="J60" s="45"/>
      <c r="K60" s="18"/>
      <c r="L60" s="18"/>
    </row>
    <row r="61" spans="1:12" ht="15">
      <c r="A61" s="196">
        <f>IF(AND(A$42=2,A$42*A$41=10),1,0)</f>
        <v>0</v>
      </c>
      <c r="B61" s="45">
        <f t="shared" si="10"/>
        <v>-16</v>
      </c>
      <c r="C61" s="197">
        <f t="shared" si="8"/>
        <v>0</v>
      </c>
      <c r="D61" s="198"/>
      <c r="E61" s="199">
        <f t="shared" si="9"/>
        <v>0</v>
      </c>
      <c r="F61" s="198"/>
      <c r="G61" s="45"/>
      <c r="H61" s="45"/>
      <c r="I61" s="45"/>
      <c r="J61" s="45"/>
      <c r="K61" s="18"/>
      <c r="L61" s="18"/>
    </row>
    <row r="62" spans="1:12" ht="15">
      <c r="A62" s="196">
        <f>IF(AND(A$42=2,A$42*A$41=12),1,0)</f>
        <v>0</v>
      </c>
      <c r="B62" s="45">
        <f t="shared" si="10"/>
        <v>-17</v>
      </c>
      <c r="C62" s="197">
        <f t="shared" si="8"/>
        <v>0</v>
      </c>
      <c r="D62" s="199"/>
      <c r="E62" s="199">
        <f t="shared" si="9"/>
        <v>0</v>
      </c>
      <c r="F62" s="199"/>
      <c r="G62" s="45"/>
      <c r="H62" s="45"/>
      <c r="I62" s="45"/>
      <c r="J62" s="45"/>
      <c r="K62" s="18"/>
      <c r="L62" s="18"/>
    </row>
    <row r="63" spans="1:12" ht="15">
      <c r="A63" s="196">
        <f>IF(AND(A$42=2,A$42*A$41=14),1,0)</f>
        <v>0</v>
      </c>
      <c r="B63" s="45">
        <f t="shared" si="10"/>
        <v>-18</v>
      </c>
      <c r="C63" s="197">
        <f t="shared" si="8"/>
        <v>0</v>
      </c>
      <c r="D63" s="199"/>
      <c r="E63" s="199">
        <f t="shared" si="9"/>
        <v>0</v>
      </c>
      <c r="F63" s="199"/>
      <c r="G63" s="45"/>
      <c r="H63" s="45"/>
      <c r="I63" s="45"/>
      <c r="J63" s="45"/>
      <c r="K63" s="18"/>
      <c r="L63" s="18"/>
    </row>
    <row r="64" spans="1:12" ht="15">
      <c r="A64" s="196">
        <f>IF(AND(A$42=2,A$42*A$41=16),1,0)</f>
        <v>0</v>
      </c>
      <c r="B64" s="45">
        <f t="shared" si="10"/>
        <v>-19</v>
      </c>
      <c r="C64" s="197">
        <f t="shared" si="8"/>
        <v>0</v>
      </c>
      <c r="D64" s="199"/>
      <c r="E64" s="199">
        <f t="shared" si="9"/>
        <v>0</v>
      </c>
      <c r="F64" s="199"/>
      <c r="G64" s="45"/>
      <c r="H64" s="45"/>
      <c r="I64" s="45"/>
      <c r="J64" s="45"/>
      <c r="K64" s="18"/>
      <c r="L64" s="18"/>
    </row>
    <row r="65" spans="1:12" ht="15">
      <c r="A65" s="196">
        <f>IF(AND(A$42=2,A$42*A$41=18),1,0)</f>
        <v>0</v>
      </c>
      <c r="B65" s="45">
        <f t="shared" si="10"/>
        <v>-20</v>
      </c>
      <c r="C65" s="197">
        <f t="shared" si="8"/>
        <v>0</v>
      </c>
      <c r="D65" s="199"/>
      <c r="E65" s="199">
        <f t="shared" si="9"/>
        <v>0</v>
      </c>
      <c r="F65" s="199"/>
      <c r="G65" s="45"/>
      <c r="H65" s="45"/>
      <c r="I65" s="45"/>
      <c r="J65" s="45"/>
      <c r="K65" s="18"/>
      <c r="L65" s="18"/>
    </row>
    <row r="66" spans="1:12" ht="15">
      <c r="A66" s="196">
        <f>IF(AND(A$42=2,A$42*A$41=20),1,0)</f>
        <v>0</v>
      </c>
      <c r="B66" s="45">
        <f t="shared" si="10"/>
        <v>-21</v>
      </c>
      <c r="C66" s="197">
        <f t="shared" si="8"/>
        <v>0</v>
      </c>
      <c r="D66" s="199"/>
      <c r="E66" s="199">
        <f t="shared" si="9"/>
        <v>0</v>
      </c>
      <c r="F66" s="199"/>
      <c r="G66" s="45"/>
      <c r="H66" s="45"/>
      <c r="I66" s="45"/>
      <c r="J66" s="45"/>
      <c r="K66" s="18"/>
      <c r="L66" s="18"/>
    </row>
    <row r="67" spans="1:12" ht="15">
      <c r="A67" s="196">
        <f>IF(AND(A$42=2,A$42*A$41=22),1,0)</f>
        <v>0</v>
      </c>
      <c r="B67" s="45">
        <f t="shared" si="10"/>
        <v>-22</v>
      </c>
      <c r="C67" s="197">
        <f t="shared" si="8"/>
        <v>0</v>
      </c>
      <c r="D67" s="199"/>
      <c r="E67" s="199">
        <f t="shared" si="9"/>
        <v>0</v>
      </c>
      <c r="F67" s="199"/>
      <c r="G67" s="45"/>
      <c r="H67" s="45"/>
      <c r="I67" s="45"/>
      <c r="J67" s="45"/>
      <c r="K67" s="18"/>
      <c r="L67" s="18"/>
    </row>
    <row r="68" spans="1:12" ht="15">
      <c r="A68" s="200">
        <f>IF(AND(A$42=2,A$42*A$41=24),1,0)</f>
        <v>0</v>
      </c>
      <c r="B68" s="45">
        <f t="shared" si="10"/>
        <v>-23</v>
      </c>
      <c r="C68" s="197">
        <f t="shared" si="8"/>
        <v>0</v>
      </c>
      <c r="D68" s="199">
        <f>SUM(C57:C68)</f>
        <v>0</v>
      </c>
      <c r="E68" s="199">
        <f t="shared" si="9"/>
        <v>0</v>
      </c>
      <c r="F68" s="199">
        <f>SUM(E57:E68)</f>
        <v>0</v>
      </c>
      <c r="G68" s="45"/>
      <c r="H68" s="45"/>
      <c r="I68" s="45"/>
      <c r="J68" s="45"/>
      <c r="K68" s="18"/>
      <c r="L68" s="18"/>
    </row>
    <row r="69" spans="1:12" ht="15">
      <c r="A69" s="196">
        <f>IF(AND(A$42=3,A$42*A$41=3),1,0)</f>
        <v>0</v>
      </c>
      <c r="B69" s="45">
        <f t="shared" si="10"/>
        <v>-24</v>
      </c>
      <c r="C69" s="197">
        <f t="shared" si="8"/>
        <v>0</v>
      </c>
      <c r="D69" s="198"/>
      <c r="E69" s="199">
        <f t="shared" si="9"/>
        <v>0</v>
      </c>
      <c r="F69" s="198"/>
      <c r="G69" s="45"/>
      <c r="H69" s="45"/>
      <c r="I69" s="45"/>
      <c r="J69" s="45"/>
      <c r="K69" s="18"/>
      <c r="L69" s="18"/>
    </row>
    <row r="70" spans="1:12" ht="15">
      <c r="A70" s="196">
        <f>IF(AND(A$42=3,A$42*A$41=6),1,0)</f>
        <v>0</v>
      </c>
      <c r="B70" s="45">
        <f t="shared" si="10"/>
        <v>-25</v>
      </c>
      <c r="C70" s="197">
        <f t="shared" si="8"/>
        <v>0</v>
      </c>
      <c r="D70" s="198"/>
      <c r="E70" s="199">
        <f t="shared" si="9"/>
        <v>0</v>
      </c>
      <c r="F70" s="198"/>
      <c r="G70" s="45"/>
      <c r="H70" s="45"/>
      <c r="I70" s="45"/>
      <c r="J70" s="45"/>
      <c r="K70" s="18"/>
      <c r="L70" s="18"/>
    </row>
    <row r="71" spans="1:12" ht="15">
      <c r="A71" s="196">
        <f>IF(AND(A$42=3,A$42*A$41=9),1,0)</f>
        <v>0</v>
      </c>
      <c r="B71" s="45">
        <f t="shared" si="10"/>
        <v>-26</v>
      </c>
      <c r="C71" s="197">
        <f t="shared" si="8"/>
        <v>0</v>
      </c>
      <c r="D71" s="198"/>
      <c r="E71" s="199">
        <f t="shared" si="9"/>
        <v>0</v>
      </c>
      <c r="F71" s="198"/>
      <c r="G71" s="45"/>
      <c r="H71" s="45"/>
      <c r="I71" s="45"/>
      <c r="J71" s="45"/>
      <c r="K71" s="18"/>
      <c r="L71" s="18"/>
    </row>
    <row r="72" spans="1:12" ht="15">
      <c r="A72" s="196">
        <f>IF(AND(A$42=3,A$42*A$41=12),1,0)</f>
        <v>0</v>
      </c>
      <c r="B72" s="45">
        <f t="shared" si="10"/>
        <v>-27</v>
      </c>
      <c r="C72" s="197">
        <f t="shared" si="8"/>
        <v>0</v>
      </c>
      <c r="D72" s="198"/>
      <c r="E72" s="199">
        <f t="shared" si="9"/>
        <v>0</v>
      </c>
      <c r="F72" s="198"/>
      <c r="G72" s="45"/>
      <c r="H72" s="45"/>
      <c r="I72" s="45"/>
      <c r="J72" s="45"/>
      <c r="K72" s="18"/>
      <c r="L72" s="18"/>
    </row>
    <row r="73" spans="1:12" ht="15">
      <c r="A73" s="196">
        <f>IF(AND(A$42=3,A$42*A$41=15),1,0)</f>
        <v>0</v>
      </c>
      <c r="B73" s="45">
        <f t="shared" si="10"/>
        <v>-28</v>
      </c>
      <c r="C73" s="197">
        <f t="shared" si="8"/>
        <v>0</v>
      </c>
      <c r="D73" s="198"/>
      <c r="E73" s="199">
        <f t="shared" si="9"/>
        <v>0</v>
      </c>
      <c r="F73" s="198"/>
      <c r="G73" s="45"/>
      <c r="H73" s="45"/>
      <c r="I73" s="45"/>
      <c r="J73" s="45"/>
      <c r="K73" s="18"/>
      <c r="L73" s="18"/>
    </row>
    <row r="74" spans="1:12" ht="15">
      <c r="A74" s="196">
        <f>IF(AND(A$42=3,A$42*A$41=18),1,0)</f>
        <v>0</v>
      </c>
      <c r="B74" s="45">
        <f t="shared" si="10"/>
        <v>-29</v>
      </c>
      <c r="C74" s="197">
        <f t="shared" si="8"/>
        <v>0</v>
      </c>
      <c r="D74" s="199"/>
      <c r="E74" s="199">
        <f t="shared" si="9"/>
        <v>0</v>
      </c>
      <c r="F74" s="199"/>
      <c r="G74" s="45"/>
      <c r="H74" s="45"/>
      <c r="I74" s="45"/>
      <c r="J74" s="45"/>
      <c r="K74" s="18"/>
      <c r="L74" s="18"/>
    </row>
    <row r="75" spans="1:12" ht="15">
      <c r="A75" s="196">
        <f>IF(AND(A$42=3,A$42*A$41=21),1,0)</f>
        <v>0</v>
      </c>
      <c r="B75" s="45">
        <f t="shared" si="10"/>
        <v>-30</v>
      </c>
      <c r="C75" s="197">
        <f t="shared" si="8"/>
        <v>0</v>
      </c>
      <c r="D75" s="199"/>
      <c r="E75" s="199">
        <f t="shared" si="9"/>
        <v>0</v>
      </c>
      <c r="F75" s="199"/>
      <c r="G75" s="45"/>
      <c r="H75" s="45"/>
      <c r="I75" s="45"/>
      <c r="J75" s="45"/>
      <c r="K75" s="18"/>
      <c r="L75" s="18"/>
    </row>
    <row r="76" spans="1:12" ht="15">
      <c r="A76" s="196">
        <f>IF(AND(A$42=3,A$42*A$41=24),1,0)</f>
        <v>0</v>
      </c>
      <c r="B76" s="45">
        <f t="shared" si="10"/>
        <v>-31</v>
      </c>
      <c r="C76" s="197">
        <f t="shared" si="8"/>
        <v>0</v>
      </c>
      <c r="D76" s="199"/>
      <c r="E76" s="199">
        <f t="shared" si="9"/>
        <v>0</v>
      </c>
      <c r="F76" s="199"/>
      <c r="G76" s="45"/>
      <c r="H76" s="45"/>
      <c r="I76" s="45"/>
      <c r="J76" s="45"/>
      <c r="K76" s="18"/>
      <c r="L76" s="18"/>
    </row>
    <row r="77" spans="1:12" ht="15">
      <c r="A77" s="196">
        <f>IF(AND(A$42=3,A$42*A$41=27),1,0)</f>
        <v>0</v>
      </c>
      <c r="B77" s="45">
        <f t="shared" si="10"/>
        <v>-32</v>
      </c>
      <c r="C77" s="197">
        <f t="shared" si="8"/>
        <v>0</v>
      </c>
      <c r="D77" s="199"/>
      <c r="E77" s="199">
        <f t="shared" si="9"/>
        <v>0</v>
      </c>
      <c r="F77" s="199"/>
      <c r="G77" s="45"/>
      <c r="H77" s="45"/>
      <c r="I77" s="45"/>
      <c r="J77" s="45"/>
      <c r="K77" s="18"/>
      <c r="L77" s="18"/>
    </row>
    <row r="78" spans="1:12" ht="15">
      <c r="A78" s="196">
        <f>IF(AND(A$42=3,A$42*A$41=30),1,0)</f>
        <v>0</v>
      </c>
      <c r="B78" s="45">
        <f t="shared" si="10"/>
        <v>-33</v>
      </c>
      <c r="C78" s="197">
        <f t="shared" si="8"/>
        <v>0</v>
      </c>
      <c r="D78" s="199"/>
      <c r="E78" s="199">
        <f t="shared" si="9"/>
        <v>0</v>
      </c>
      <c r="F78" s="199"/>
      <c r="G78" s="45"/>
      <c r="H78" s="45"/>
      <c r="I78" s="45"/>
      <c r="J78" s="45"/>
      <c r="K78" s="18"/>
      <c r="L78" s="18"/>
    </row>
    <row r="79" spans="1:12" ht="15">
      <c r="A79" s="196">
        <f>IF(AND(A$42=3,A$42*A$41=33),1,0)</f>
        <v>0</v>
      </c>
      <c r="B79" s="45">
        <f t="shared" si="10"/>
        <v>-34</v>
      </c>
      <c r="C79" s="197">
        <f t="shared" si="8"/>
        <v>0</v>
      </c>
      <c r="D79" s="199"/>
      <c r="E79" s="199">
        <f t="shared" si="9"/>
        <v>0</v>
      </c>
      <c r="F79" s="199"/>
      <c r="G79" s="45"/>
      <c r="H79" s="45"/>
      <c r="I79" s="45"/>
      <c r="J79" s="45"/>
      <c r="K79" s="18"/>
      <c r="L79" s="18"/>
    </row>
    <row r="80" spans="1:12" ht="15">
      <c r="A80" s="200">
        <f>IF(AND(A$42=3,A$42*A$41=36),1,0)</f>
        <v>0</v>
      </c>
      <c r="B80" s="45">
        <f t="shared" si="10"/>
        <v>-35</v>
      </c>
      <c r="C80" s="197">
        <f t="shared" si="8"/>
        <v>0</v>
      </c>
      <c r="D80" s="199">
        <f>SUM(C69:C80)</f>
        <v>0</v>
      </c>
      <c r="E80" s="199">
        <f t="shared" si="9"/>
        <v>0</v>
      </c>
      <c r="F80" s="199">
        <f>SUM(E69:E80)</f>
        <v>0</v>
      </c>
      <c r="G80" s="45"/>
      <c r="H80" s="45"/>
      <c r="I80" s="45"/>
      <c r="J80" s="45"/>
      <c r="K80" s="18"/>
      <c r="L80" s="18"/>
    </row>
    <row r="81" spans="1:12" ht="15">
      <c r="A81" s="196">
        <f>IF(AND(A$42=3,A$42*A$41=4),1,0)</f>
        <v>0</v>
      </c>
      <c r="B81" s="45">
        <f t="shared" si="10"/>
        <v>-36</v>
      </c>
      <c r="C81" s="197">
        <f t="shared" si="8"/>
        <v>0</v>
      </c>
      <c r="D81" s="198"/>
      <c r="E81" s="199">
        <f t="shared" si="9"/>
        <v>0</v>
      </c>
      <c r="F81" s="198"/>
      <c r="G81" s="45"/>
      <c r="H81" s="45"/>
      <c r="I81" s="45"/>
      <c r="J81" s="45"/>
      <c r="K81" s="18"/>
      <c r="L81" s="18"/>
    </row>
    <row r="82" spans="1:12" ht="15">
      <c r="A82" s="196">
        <f>IF(AND(A$42=3,A$42*A$41=8),1,0)</f>
        <v>0</v>
      </c>
      <c r="B82" s="45">
        <f t="shared" si="10"/>
        <v>-37</v>
      </c>
      <c r="C82" s="197">
        <f t="shared" si="8"/>
        <v>0</v>
      </c>
      <c r="D82" s="198"/>
      <c r="E82" s="199">
        <f t="shared" si="9"/>
        <v>0</v>
      </c>
      <c r="F82" s="198"/>
      <c r="G82" s="45"/>
      <c r="H82" s="45"/>
      <c r="I82" s="45"/>
      <c r="J82" s="45"/>
      <c r="K82" s="18"/>
      <c r="L82" s="18"/>
    </row>
    <row r="83" spans="1:12" ht="15">
      <c r="A83" s="196">
        <f>IF(AND(A$42=3,A$42*A$41=12),1,0)</f>
        <v>0</v>
      </c>
      <c r="B83" s="45">
        <f t="shared" si="10"/>
        <v>-38</v>
      </c>
      <c r="C83" s="197">
        <f t="shared" si="8"/>
        <v>0</v>
      </c>
      <c r="D83" s="198"/>
      <c r="E83" s="199">
        <f t="shared" si="9"/>
        <v>0</v>
      </c>
      <c r="F83" s="198"/>
      <c r="G83" s="45"/>
      <c r="H83" s="45"/>
      <c r="I83" s="45"/>
      <c r="J83" s="45"/>
      <c r="K83" s="18"/>
      <c r="L83" s="18"/>
    </row>
    <row r="84" spans="1:12" ht="15">
      <c r="A84" s="196">
        <f>IF(AND(A$42=3,A$42*A$41=16),1,0)</f>
        <v>0</v>
      </c>
      <c r="B84" s="45">
        <f t="shared" si="10"/>
        <v>-39</v>
      </c>
      <c r="C84" s="197">
        <f t="shared" si="8"/>
        <v>0</v>
      </c>
      <c r="D84" s="198"/>
      <c r="E84" s="199">
        <f t="shared" si="9"/>
        <v>0</v>
      </c>
      <c r="F84" s="198"/>
      <c r="G84" s="45"/>
      <c r="H84" s="45"/>
      <c r="I84" s="45"/>
      <c r="J84" s="45"/>
      <c r="K84" s="18"/>
      <c r="L84" s="18"/>
    </row>
    <row r="85" spans="1:12" ht="15">
      <c r="A85" s="196">
        <f>IF(AND(A$42=3,A$42*A$41=20),1,0)</f>
        <v>0</v>
      </c>
      <c r="B85" s="45">
        <f t="shared" si="10"/>
        <v>-40</v>
      </c>
      <c r="C85" s="197">
        <f t="shared" si="8"/>
        <v>0</v>
      </c>
      <c r="D85" s="198"/>
      <c r="E85" s="199">
        <f t="shared" si="9"/>
        <v>0</v>
      </c>
      <c r="F85" s="198"/>
      <c r="G85" s="45"/>
      <c r="H85" s="45"/>
      <c r="I85" s="45"/>
      <c r="J85" s="45"/>
      <c r="K85" s="18"/>
      <c r="L85" s="18"/>
    </row>
    <row r="86" spans="1:12" ht="15">
      <c r="A86" s="196">
        <f>IF(AND(A$42=3,A$42*A$41=24),1,0)</f>
        <v>0</v>
      </c>
      <c r="B86" s="45">
        <f t="shared" si="10"/>
        <v>-41</v>
      </c>
      <c r="C86" s="197">
        <f t="shared" si="8"/>
        <v>0</v>
      </c>
      <c r="D86" s="199"/>
      <c r="E86" s="199">
        <f t="shared" si="9"/>
        <v>0</v>
      </c>
      <c r="F86" s="199"/>
      <c r="G86" s="45"/>
      <c r="H86" s="45"/>
      <c r="I86" s="45"/>
      <c r="J86" s="45"/>
      <c r="K86" s="18"/>
      <c r="L86" s="18"/>
    </row>
    <row r="87" spans="1:12" ht="15">
      <c r="A87" s="196">
        <f>IF(AND(A$42=3,A$42*A$41=28),1,0)</f>
        <v>0</v>
      </c>
      <c r="B87" s="45">
        <f t="shared" si="10"/>
        <v>-42</v>
      </c>
      <c r="C87" s="197">
        <f t="shared" si="8"/>
        <v>0</v>
      </c>
      <c r="D87" s="199"/>
      <c r="E87" s="199">
        <f t="shared" si="9"/>
        <v>0</v>
      </c>
      <c r="F87" s="199"/>
      <c r="G87" s="45"/>
      <c r="H87" s="45"/>
      <c r="I87" s="45"/>
      <c r="J87" s="45"/>
      <c r="K87" s="18"/>
      <c r="L87" s="18"/>
    </row>
    <row r="88" spans="1:12" ht="15">
      <c r="A88" s="196">
        <f>IF(AND(A$42=3,A$42*A$41=32),1,0)</f>
        <v>0</v>
      </c>
      <c r="B88" s="45">
        <f t="shared" si="10"/>
        <v>-43</v>
      </c>
      <c r="C88" s="197">
        <f t="shared" si="8"/>
        <v>0</v>
      </c>
      <c r="D88" s="199"/>
      <c r="E88" s="199">
        <f t="shared" si="9"/>
        <v>0</v>
      </c>
      <c r="F88" s="199"/>
      <c r="G88" s="45"/>
      <c r="H88" s="45"/>
      <c r="I88" s="45"/>
      <c r="J88" s="45"/>
      <c r="K88" s="18"/>
      <c r="L88" s="18"/>
    </row>
    <row r="89" spans="1:12" ht="15">
      <c r="A89" s="196">
        <f>IF(AND(A$42=3,A$42*A$41=36),1,0)</f>
        <v>0</v>
      </c>
      <c r="B89" s="45">
        <f t="shared" si="10"/>
        <v>-44</v>
      </c>
      <c r="C89" s="197">
        <f t="shared" si="8"/>
        <v>0</v>
      </c>
      <c r="D89" s="199"/>
      <c r="E89" s="199">
        <f t="shared" si="9"/>
        <v>0</v>
      </c>
      <c r="F89" s="199"/>
      <c r="G89" s="45"/>
      <c r="H89" s="45"/>
      <c r="I89" s="45"/>
      <c r="J89" s="45"/>
      <c r="K89" s="18"/>
      <c r="L89" s="18"/>
    </row>
    <row r="90" spans="1:12" ht="15">
      <c r="A90" s="196">
        <f>IF(AND(A$42=3,A$42*A$41=40),1,0)</f>
        <v>0</v>
      </c>
      <c r="B90" s="45">
        <f t="shared" si="10"/>
        <v>-45</v>
      </c>
      <c r="C90" s="197">
        <f t="shared" si="8"/>
        <v>0</v>
      </c>
      <c r="D90" s="199"/>
      <c r="E90" s="199">
        <f t="shared" si="9"/>
        <v>0</v>
      </c>
      <c r="F90" s="199"/>
      <c r="G90" s="45"/>
      <c r="H90" s="45"/>
      <c r="I90" s="45"/>
      <c r="J90" s="45"/>
      <c r="K90" s="18"/>
      <c r="L90" s="18"/>
    </row>
    <row r="91" spans="1:12" ht="15">
      <c r="A91" s="196">
        <f>IF(AND(A$42=3,A$42*A$41=44),1,0)</f>
        <v>0</v>
      </c>
      <c r="B91" s="45">
        <f t="shared" si="10"/>
        <v>-46</v>
      </c>
      <c r="C91" s="197">
        <f t="shared" si="8"/>
        <v>0</v>
      </c>
      <c r="D91" s="199"/>
      <c r="E91" s="199">
        <f t="shared" si="9"/>
        <v>0</v>
      </c>
      <c r="F91" s="199"/>
      <c r="G91" s="45"/>
      <c r="H91" s="45"/>
      <c r="I91" s="45"/>
      <c r="J91" s="45"/>
      <c r="K91" s="18"/>
      <c r="L91" s="18"/>
    </row>
    <row r="92" spans="1:12" ht="15">
      <c r="A92" s="200">
        <f>IF(AND(A$42=3,A$42*A$41=48),1,0)</f>
        <v>0</v>
      </c>
      <c r="B92" s="45">
        <f t="shared" si="10"/>
        <v>-47</v>
      </c>
      <c r="C92" s="197">
        <f t="shared" si="8"/>
        <v>0</v>
      </c>
      <c r="D92" s="199">
        <f>SUM(C81:C92)</f>
        <v>0</v>
      </c>
      <c r="E92" s="199">
        <f t="shared" si="9"/>
        <v>0</v>
      </c>
      <c r="F92" s="199">
        <f>SUM(E81:E92)</f>
        <v>0</v>
      </c>
      <c r="G92" s="45"/>
      <c r="H92" s="45"/>
      <c r="I92" s="45"/>
      <c r="J92" s="45"/>
      <c r="K92" s="18"/>
      <c r="L92" s="18"/>
    </row>
    <row r="93" spans="1:12" ht="15">
      <c r="A93" s="196">
        <f>IF(AND(A$42=3,A$42*A$41=5),1,0)</f>
        <v>0</v>
      </c>
      <c r="B93" s="45">
        <f t="shared" si="10"/>
        <v>-48</v>
      </c>
      <c r="C93" s="197">
        <f t="shared" si="8"/>
        <v>0</v>
      </c>
      <c r="D93" s="198"/>
      <c r="E93" s="199">
        <f t="shared" si="9"/>
        <v>0</v>
      </c>
      <c r="F93" s="198"/>
      <c r="G93" s="45"/>
      <c r="H93" s="45"/>
      <c r="I93" s="45"/>
      <c r="J93" s="45"/>
      <c r="K93" s="18"/>
      <c r="L93" s="18"/>
    </row>
    <row r="94" spans="1:12" ht="15">
      <c r="A94" s="196">
        <f>IF(AND(A$42=3,A$42*A$41=10),1,0)</f>
        <v>0</v>
      </c>
      <c r="B94" s="45">
        <f t="shared" si="10"/>
        <v>-49</v>
      </c>
      <c r="C94" s="197">
        <f t="shared" si="8"/>
        <v>0</v>
      </c>
      <c r="D94" s="198"/>
      <c r="E94" s="199">
        <f t="shared" si="9"/>
        <v>0</v>
      </c>
      <c r="F94" s="198"/>
      <c r="G94" s="45"/>
      <c r="H94" s="45"/>
      <c r="I94" s="45"/>
      <c r="J94" s="45"/>
      <c r="K94" s="18"/>
      <c r="L94" s="18"/>
    </row>
    <row r="95" spans="1:12" ht="15">
      <c r="A95" s="196">
        <f>IF(AND(A$42=3,A$42*A$41=15),1,0)</f>
        <v>0</v>
      </c>
      <c r="B95" s="45">
        <f t="shared" si="10"/>
        <v>-50</v>
      </c>
      <c r="C95" s="197">
        <f t="shared" si="8"/>
        <v>0</v>
      </c>
      <c r="D95" s="198"/>
      <c r="E95" s="199">
        <f t="shared" si="9"/>
        <v>0</v>
      </c>
      <c r="F95" s="198"/>
      <c r="G95" s="45"/>
      <c r="H95" s="45"/>
      <c r="I95" s="45"/>
      <c r="J95" s="45"/>
      <c r="K95" s="18"/>
      <c r="L95" s="18"/>
    </row>
    <row r="96" spans="1:12" ht="15">
      <c r="A96" s="196">
        <f>IF(AND(A$42=3,A$42*A$41=20),1,0)</f>
        <v>0</v>
      </c>
      <c r="B96" s="45">
        <f t="shared" si="10"/>
        <v>-51</v>
      </c>
      <c r="C96" s="197">
        <f t="shared" si="8"/>
        <v>0</v>
      </c>
      <c r="D96" s="198"/>
      <c r="E96" s="199">
        <f t="shared" si="9"/>
        <v>0</v>
      </c>
      <c r="F96" s="198"/>
      <c r="G96" s="45"/>
      <c r="H96" s="45"/>
      <c r="I96" s="45"/>
      <c r="J96" s="45"/>
      <c r="K96" s="18"/>
      <c r="L96" s="18"/>
    </row>
    <row r="97" spans="1:12" ht="15">
      <c r="A97" s="196">
        <f>IF(AND(A$42=3,A$42*A$41=25),1,0)</f>
        <v>0</v>
      </c>
      <c r="B97" s="45">
        <f t="shared" si="10"/>
        <v>-52</v>
      </c>
      <c r="C97" s="197">
        <f t="shared" si="8"/>
        <v>0</v>
      </c>
      <c r="D97" s="198"/>
      <c r="E97" s="199">
        <f t="shared" si="9"/>
        <v>0</v>
      </c>
      <c r="F97" s="198"/>
      <c r="G97" s="45"/>
      <c r="H97" s="45"/>
      <c r="I97" s="45"/>
      <c r="J97" s="45"/>
      <c r="K97" s="18"/>
      <c r="L97" s="18"/>
    </row>
    <row r="98" spans="1:12" ht="15">
      <c r="A98" s="196">
        <f>IF(AND(A$42=3,A$42*A$41=30),1,0)</f>
        <v>0</v>
      </c>
      <c r="B98" s="45">
        <f t="shared" si="10"/>
        <v>-53</v>
      </c>
      <c r="C98" s="197">
        <f t="shared" si="8"/>
        <v>0</v>
      </c>
      <c r="D98" s="199"/>
      <c r="E98" s="199">
        <f t="shared" si="9"/>
        <v>0</v>
      </c>
      <c r="F98" s="199"/>
      <c r="G98" s="45"/>
      <c r="H98" s="45"/>
      <c r="I98" s="45"/>
      <c r="J98" s="45"/>
      <c r="K98" s="18"/>
      <c r="L98" s="18"/>
    </row>
    <row r="99" spans="1:12" ht="15">
      <c r="A99" s="196">
        <f>IF(AND(A$42=3,A$42*A$41=35),1,0)</f>
        <v>0</v>
      </c>
      <c r="B99" s="45">
        <f t="shared" si="10"/>
        <v>-54</v>
      </c>
      <c r="C99" s="197">
        <f t="shared" si="8"/>
        <v>0</v>
      </c>
      <c r="D99" s="199"/>
      <c r="E99" s="199">
        <f t="shared" si="9"/>
        <v>0</v>
      </c>
      <c r="F99" s="199"/>
      <c r="G99" s="45"/>
      <c r="H99" s="45"/>
      <c r="I99" s="45"/>
      <c r="J99" s="45"/>
      <c r="K99" s="18"/>
      <c r="L99" s="18"/>
    </row>
    <row r="100" spans="1:12" ht="15">
      <c r="A100" s="196">
        <f>IF(AND(A$42=3,A$42*A$41=40),1,0)</f>
        <v>0</v>
      </c>
      <c r="B100" s="45">
        <f t="shared" si="10"/>
        <v>-55</v>
      </c>
      <c r="C100" s="197">
        <f t="shared" si="8"/>
        <v>0</v>
      </c>
      <c r="D100" s="199"/>
      <c r="E100" s="199">
        <f t="shared" si="9"/>
        <v>0</v>
      </c>
      <c r="F100" s="199"/>
      <c r="G100" s="45"/>
      <c r="H100" s="45"/>
      <c r="I100" s="45"/>
      <c r="J100" s="45"/>
      <c r="K100" s="18"/>
      <c r="L100" s="18"/>
    </row>
    <row r="101" spans="1:12" ht="15">
      <c r="A101" s="196">
        <f>IF(AND(A$42=3,A$42*A$41=45),1,0)</f>
        <v>0</v>
      </c>
      <c r="B101" s="45">
        <f t="shared" si="10"/>
        <v>-56</v>
      </c>
      <c r="C101" s="197">
        <f t="shared" si="8"/>
        <v>0</v>
      </c>
      <c r="D101" s="199"/>
      <c r="E101" s="199">
        <f t="shared" si="9"/>
        <v>0</v>
      </c>
      <c r="F101" s="199"/>
      <c r="G101" s="45"/>
      <c r="H101" s="45"/>
      <c r="I101" s="45"/>
      <c r="J101" s="45"/>
      <c r="K101" s="18"/>
      <c r="L101" s="18"/>
    </row>
    <row r="102" spans="1:12" ht="15">
      <c r="A102" s="196">
        <f>IF(AND(A$42=3,A$42*A$41=50),1,0)</f>
        <v>0</v>
      </c>
      <c r="B102" s="45">
        <f t="shared" si="10"/>
        <v>-57</v>
      </c>
      <c r="C102" s="197">
        <f t="shared" si="8"/>
        <v>0</v>
      </c>
      <c r="D102" s="199"/>
      <c r="E102" s="199">
        <f t="shared" si="9"/>
        <v>0</v>
      </c>
      <c r="F102" s="199"/>
      <c r="G102" s="45"/>
      <c r="H102" s="45"/>
      <c r="I102" s="45"/>
      <c r="J102" s="45"/>
      <c r="K102" s="18"/>
      <c r="L102" s="18"/>
    </row>
    <row r="103" spans="1:12" ht="15">
      <c r="A103" s="196">
        <f>IF(AND(A$42=3,A$42*A$41=55),1,0)</f>
        <v>0</v>
      </c>
      <c r="B103" s="45">
        <f t="shared" si="10"/>
        <v>-58</v>
      </c>
      <c r="C103" s="197">
        <f t="shared" si="8"/>
        <v>0</v>
      </c>
      <c r="D103" s="199"/>
      <c r="E103" s="199">
        <f t="shared" si="9"/>
        <v>0</v>
      </c>
      <c r="F103" s="199"/>
      <c r="G103" s="45"/>
      <c r="H103" s="45"/>
      <c r="I103" s="45"/>
      <c r="J103" s="45"/>
      <c r="K103" s="18"/>
      <c r="L103" s="18"/>
    </row>
    <row r="104" spans="1:12" ht="15">
      <c r="A104" s="200">
        <f>IF(AND(A$42=3,A$42*A$41=60),1,0)</f>
        <v>0</v>
      </c>
      <c r="B104" s="45">
        <f t="shared" si="10"/>
        <v>-59</v>
      </c>
      <c r="C104" s="197">
        <f t="shared" si="8"/>
        <v>0</v>
      </c>
      <c r="D104" s="199">
        <f>SUM(C93:C104)</f>
        <v>0</v>
      </c>
      <c r="E104" s="199">
        <f t="shared" si="9"/>
        <v>0</v>
      </c>
      <c r="F104" s="199">
        <f>SUM(E93:E104)</f>
        <v>0</v>
      </c>
      <c r="G104" s="45"/>
      <c r="H104" s="45"/>
      <c r="I104" s="45"/>
      <c r="J104" s="45"/>
      <c r="K104" s="18"/>
      <c r="L104" s="18"/>
    </row>
    <row r="105" spans="1:12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18"/>
      <c r="L105" s="18"/>
    </row>
    <row r="106" spans="1:12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18"/>
      <c r="L106" s="18"/>
    </row>
    <row r="107" spans="1:12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18"/>
      <c r="L107" s="18"/>
    </row>
    <row r="109" spans="1:7" ht="15.75">
      <c r="A109" s="177" t="s">
        <v>151</v>
      </c>
      <c r="B109" s="165"/>
      <c r="C109" s="165"/>
      <c r="D109" s="165"/>
      <c r="E109" s="165"/>
      <c r="F109" s="165"/>
      <c r="G109" s="165"/>
    </row>
    <row r="110" spans="1:7" ht="16.5" thickBot="1">
      <c r="A110" s="127" t="s">
        <v>144</v>
      </c>
      <c r="B110" s="278">
        <f aca="true" t="shared" si="11" ref="B110:F111">B4</f>
        <v>2006</v>
      </c>
      <c r="C110" s="278">
        <f t="shared" si="11"/>
        <v>2007</v>
      </c>
      <c r="D110" s="278">
        <f t="shared" si="11"/>
        <v>2008</v>
      </c>
      <c r="E110" s="278">
        <f t="shared" si="11"/>
        <v>2009</v>
      </c>
      <c r="F110" s="278">
        <f t="shared" si="11"/>
        <v>2010</v>
      </c>
      <c r="G110" s="275"/>
    </row>
    <row r="111" spans="1:7" ht="15.75">
      <c r="A111" s="276" t="s">
        <v>149</v>
      </c>
      <c r="B111" s="281">
        <f t="shared" si="11"/>
        <v>15000</v>
      </c>
      <c r="C111" s="281">
        <f t="shared" si="11"/>
        <v>15000</v>
      </c>
      <c r="D111" s="281">
        <f t="shared" si="11"/>
        <v>15000</v>
      </c>
      <c r="E111" s="281">
        <f t="shared" si="11"/>
        <v>15000</v>
      </c>
      <c r="F111" s="281">
        <f t="shared" si="11"/>
        <v>15000</v>
      </c>
      <c r="G111" s="275"/>
    </row>
    <row r="112" spans="1:7" ht="15.75">
      <c r="A112" s="165"/>
      <c r="B112" s="275"/>
      <c r="C112" s="275"/>
      <c r="D112" s="275"/>
      <c r="E112" s="275"/>
      <c r="F112" s="275"/>
      <c r="G112" s="275"/>
    </row>
    <row r="113" spans="1:7" ht="15.75">
      <c r="A113" s="280" t="s">
        <v>150</v>
      </c>
      <c r="B113" s="275"/>
      <c r="C113" s="275"/>
      <c r="D113" s="275" t="str">
        <f aca="true" t="shared" si="12" ref="D113:G119">D7</f>
        <v>Natural</v>
      </c>
      <c r="E113" s="275" t="str">
        <f t="shared" si="12"/>
        <v>Organic</v>
      </c>
      <c r="F113" s="275" t="str">
        <f t="shared" si="12"/>
        <v>Organic</v>
      </c>
      <c r="G113" s="275" t="str">
        <f t="shared" si="12"/>
        <v>Organic</v>
      </c>
    </row>
    <row r="114" spans="1:7" ht="16.5" thickBot="1">
      <c r="A114" s="127" t="s">
        <v>143</v>
      </c>
      <c r="B114" s="278" t="str">
        <f aca="true" t="shared" si="13" ref="B114:C119">B8</f>
        <v>Conventional</v>
      </c>
      <c r="C114" s="278" t="str">
        <f t="shared" si="13"/>
        <v>Natural</v>
      </c>
      <c r="D114" s="278" t="str">
        <f t="shared" si="12"/>
        <v>Grass</v>
      </c>
      <c r="E114" s="278" t="str">
        <f t="shared" si="12"/>
        <v>Grain</v>
      </c>
      <c r="F114" s="278" t="str">
        <f t="shared" si="12"/>
        <v>Grass / Grain</v>
      </c>
      <c r="G114" s="278" t="str">
        <f t="shared" si="12"/>
        <v>Grass</v>
      </c>
    </row>
    <row r="115" spans="1:7" ht="15">
      <c r="A115" s="276" t="s">
        <v>76</v>
      </c>
      <c r="B115" s="282">
        <f t="shared" si="13"/>
        <v>0</v>
      </c>
      <c r="C115" s="282">
        <f t="shared" si="13"/>
        <v>0</v>
      </c>
      <c r="D115" s="282">
        <f t="shared" si="12"/>
        <v>0</v>
      </c>
      <c r="E115" s="282">
        <f t="shared" si="12"/>
        <v>0</v>
      </c>
      <c r="F115" s="282">
        <f t="shared" si="12"/>
        <v>0</v>
      </c>
      <c r="G115" s="282">
        <f t="shared" si="12"/>
        <v>0</v>
      </c>
    </row>
    <row r="116" spans="1:7" ht="15">
      <c r="A116" s="153" t="s">
        <v>77</v>
      </c>
      <c r="B116" s="282">
        <f t="shared" si="13"/>
        <v>0</v>
      </c>
      <c r="C116" s="282">
        <f t="shared" si="13"/>
        <v>0</v>
      </c>
      <c r="D116" s="282">
        <f t="shared" si="12"/>
        <v>0</v>
      </c>
      <c r="E116" s="282">
        <f t="shared" si="12"/>
        <v>0</v>
      </c>
      <c r="F116" s="282">
        <f t="shared" si="12"/>
        <v>0</v>
      </c>
      <c r="G116" s="282">
        <f t="shared" si="12"/>
        <v>0</v>
      </c>
    </row>
    <row r="117" spans="1:7" ht="15">
      <c r="A117" s="153" t="s">
        <v>78</v>
      </c>
      <c r="B117" s="282">
        <f t="shared" si="13"/>
        <v>0</v>
      </c>
      <c r="C117" s="282">
        <f t="shared" si="13"/>
        <v>0</v>
      </c>
      <c r="D117" s="282">
        <f t="shared" si="12"/>
        <v>0</v>
      </c>
      <c r="E117" s="282">
        <f t="shared" si="12"/>
        <v>0</v>
      </c>
      <c r="F117" s="282">
        <f t="shared" si="12"/>
        <v>0</v>
      </c>
      <c r="G117" s="282">
        <f t="shared" si="12"/>
        <v>0</v>
      </c>
    </row>
    <row r="118" spans="1:7" ht="15">
      <c r="A118" s="153" t="s">
        <v>79</v>
      </c>
      <c r="B118" s="282">
        <f t="shared" si="13"/>
        <v>0</v>
      </c>
      <c r="C118" s="282">
        <f t="shared" si="13"/>
        <v>0</v>
      </c>
      <c r="D118" s="282">
        <f t="shared" si="12"/>
        <v>0</v>
      </c>
      <c r="E118" s="282">
        <f t="shared" si="12"/>
        <v>0</v>
      </c>
      <c r="F118" s="282">
        <f t="shared" si="12"/>
        <v>0</v>
      </c>
      <c r="G118" s="282">
        <f t="shared" si="12"/>
        <v>0</v>
      </c>
    </row>
    <row r="119" spans="1:7" ht="15">
      <c r="A119" s="153" t="s">
        <v>80</v>
      </c>
      <c r="B119" s="282">
        <f t="shared" si="13"/>
        <v>0</v>
      </c>
      <c r="C119" s="282">
        <f t="shared" si="13"/>
        <v>0</v>
      </c>
      <c r="D119" s="282">
        <f t="shared" si="12"/>
        <v>0</v>
      </c>
      <c r="E119" s="282">
        <f t="shared" si="12"/>
        <v>0</v>
      </c>
      <c r="F119" s="282">
        <f t="shared" si="12"/>
        <v>0</v>
      </c>
      <c r="G119" s="282">
        <f t="shared" si="12"/>
        <v>0</v>
      </c>
    </row>
    <row r="120" spans="1:7" ht="15">
      <c r="A120" s="279" t="s">
        <v>145</v>
      </c>
      <c r="B120" s="283"/>
      <c r="C120" s="283"/>
      <c r="D120" s="283"/>
      <c r="E120" s="283"/>
      <c r="F120" s="283"/>
      <c r="G120" s="284"/>
    </row>
    <row r="121" spans="1:7" ht="15">
      <c r="A121" s="154" t="s">
        <v>147</v>
      </c>
      <c r="B121" s="282">
        <f aca="true" t="shared" si="14" ref="B121:G126">B15</f>
        <v>0</v>
      </c>
      <c r="C121" s="282">
        <f t="shared" si="14"/>
        <v>0</v>
      </c>
      <c r="D121" s="282">
        <f t="shared" si="14"/>
        <v>0</v>
      </c>
      <c r="E121" s="282">
        <f t="shared" si="14"/>
        <v>0</v>
      </c>
      <c r="F121" s="282">
        <f t="shared" si="14"/>
        <v>0</v>
      </c>
      <c r="G121" s="282">
        <f t="shared" si="14"/>
        <v>0</v>
      </c>
    </row>
    <row r="122" spans="1:7" ht="15">
      <c r="A122" s="154" t="s">
        <v>154</v>
      </c>
      <c r="B122" s="282">
        <f t="shared" si="14"/>
        <v>0</v>
      </c>
      <c r="C122" s="282">
        <f t="shared" si="14"/>
        <v>0</v>
      </c>
      <c r="D122" s="282">
        <f t="shared" si="14"/>
        <v>0</v>
      </c>
      <c r="E122" s="282">
        <f t="shared" si="14"/>
        <v>0</v>
      </c>
      <c r="F122" s="282">
        <f t="shared" si="14"/>
        <v>0</v>
      </c>
      <c r="G122" s="282">
        <f t="shared" si="14"/>
        <v>0</v>
      </c>
    </row>
    <row r="123" spans="1:7" ht="15">
      <c r="A123" s="153" t="s">
        <v>81</v>
      </c>
      <c r="B123" s="282">
        <f t="shared" si="14"/>
        <v>0</v>
      </c>
      <c r="C123" s="282">
        <f t="shared" si="14"/>
        <v>0</v>
      </c>
      <c r="D123" s="282">
        <f t="shared" si="14"/>
        <v>0</v>
      </c>
      <c r="E123" s="282">
        <f t="shared" si="14"/>
        <v>0</v>
      </c>
      <c r="F123" s="282">
        <f t="shared" si="14"/>
        <v>0</v>
      </c>
      <c r="G123" s="282">
        <f t="shared" si="14"/>
        <v>0</v>
      </c>
    </row>
    <row r="124" spans="1:7" ht="15">
      <c r="A124" s="153" t="s">
        <v>82</v>
      </c>
      <c r="B124" s="282">
        <f t="shared" si="14"/>
        <v>0</v>
      </c>
      <c r="C124" s="282">
        <f t="shared" si="14"/>
        <v>0</v>
      </c>
      <c r="D124" s="282">
        <f t="shared" si="14"/>
        <v>0</v>
      </c>
      <c r="E124" s="282">
        <f t="shared" si="14"/>
        <v>0</v>
      </c>
      <c r="F124" s="282">
        <f t="shared" si="14"/>
        <v>0</v>
      </c>
      <c r="G124" s="282">
        <f t="shared" si="14"/>
        <v>0</v>
      </c>
    </row>
    <row r="125" spans="1:7" ht="15">
      <c r="A125" s="153" t="s">
        <v>83</v>
      </c>
      <c r="B125" s="282">
        <f t="shared" si="14"/>
        <v>0</v>
      </c>
      <c r="C125" s="282">
        <f t="shared" si="14"/>
        <v>0</v>
      </c>
      <c r="D125" s="282">
        <f t="shared" si="14"/>
        <v>0</v>
      </c>
      <c r="E125" s="282">
        <f t="shared" si="14"/>
        <v>0</v>
      </c>
      <c r="F125" s="282">
        <f t="shared" si="14"/>
        <v>0</v>
      </c>
      <c r="G125" s="282">
        <f t="shared" si="14"/>
        <v>0</v>
      </c>
    </row>
    <row r="126" spans="1:7" ht="15">
      <c r="A126" s="153" t="s">
        <v>153</v>
      </c>
      <c r="B126" s="282">
        <f t="shared" si="14"/>
        <v>0</v>
      </c>
      <c r="C126" s="282">
        <f t="shared" si="14"/>
        <v>0</v>
      </c>
      <c r="D126" s="282">
        <f t="shared" si="14"/>
        <v>0</v>
      </c>
      <c r="E126" s="282">
        <f t="shared" si="14"/>
        <v>0</v>
      </c>
      <c r="F126" s="282">
        <f t="shared" si="14"/>
        <v>0</v>
      </c>
      <c r="G126" s="282">
        <f t="shared" si="14"/>
        <v>0</v>
      </c>
    </row>
    <row r="127" spans="1:7" ht="15">
      <c r="A127" s="279" t="s">
        <v>152</v>
      </c>
      <c r="B127" s="283"/>
      <c r="C127" s="283"/>
      <c r="D127" s="283"/>
      <c r="E127" s="283"/>
      <c r="F127" s="283"/>
      <c r="G127" s="284"/>
    </row>
    <row r="128" spans="1:7" ht="15">
      <c r="A128" s="153" t="s">
        <v>146</v>
      </c>
      <c r="B128" s="282">
        <f aca="true" t="shared" si="15" ref="B128:G131">B22</f>
        <v>8</v>
      </c>
      <c r="C128" s="282">
        <f t="shared" si="15"/>
        <v>8</v>
      </c>
      <c r="D128" s="282">
        <f t="shared" si="15"/>
        <v>8</v>
      </c>
      <c r="E128" s="282">
        <f t="shared" si="15"/>
        <v>8</v>
      </c>
      <c r="F128" s="282">
        <f t="shared" si="15"/>
        <v>8</v>
      </c>
      <c r="G128" s="282">
        <f t="shared" si="15"/>
        <v>8</v>
      </c>
    </row>
    <row r="129" spans="1:7" ht="15">
      <c r="A129" s="154" t="s">
        <v>159</v>
      </c>
      <c r="B129" s="282">
        <f t="shared" si="15"/>
        <v>5000</v>
      </c>
      <c r="C129" s="282">
        <f t="shared" si="15"/>
        <v>5000</v>
      </c>
      <c r="D129" s="282">
        <f t="shared" si="15"/>
        <v>5000</v>
      </c>
      <c r="E129" s="282">
        <f t="shared" si="15"/>
        <v>5000</v>
      </c>
      <c r="F129" s="282">
        <f t="shared" si="15"/>
        <v>5000</v>
      </c>
      <c r="G129" s="282">
        <f t="shared" si="15"/>
        <v>5000</v>
      </c>
    </row>
    <row r="130" spans="1:7" ht="15">
      <c r="A130" s="277" t="s">
        <v>160</v>
      </c>
      <c r="B130" s="282">
        <f t="shared" si="15"/>
        <v>4000</v>
      </c>
      <c r="C130" s="282">
        <f t="shared" si="15"/>
        <v>4000</v>
      </c>
      <c r="D130" s="282">
        <f t="shared" si="15"/>
        <v>4000</v>
      </c>
      <c r="E130" s="282">
        <f t="shared" si="15"/>
        <v>4000</v>
      </c>
      <c r="F130" s="282">
        <f t="shared" si="15"/>
        <v>4000</v>
      </c>
      <c r="G130" s="282">
        <f t="shared" si="15"/>
        <v>4000</v>
      </c>
    </row>
    <row r="131" spans="1:7" ht="15">
      <c r="A131" s="277" t="s">
        <v>161</v>
      </c>
      <c r="B131" s="282">
        <f t="shared" si="15"/>
        <v>3000</v>
      </c>
      <c r="C131" s="282">
        <f t="shared" si="15"/>
        <v>3000</v>
      </c>
      <c r="D131" s="282">
        <f t="shared" si="15"/>
        <v>3000</v>
      </c>
      <c r="E131" s="282">
        <f t="shared" si="15"/>
        <v>3000</v>
      </c>
      <c r="F131" s="282">
        <f t="shared" si="15"/>
        <v>3000</v>
      </c>
      <c r="G131" s="282">
        <f t="shared" si="15"/>
        <v>3000</v>
      </c>
    </row>
    <row r="132" spans="1:7" ht="15">
      <c r="A132" s="277" t="s">
        <v>162</v>
      </c>
      <c r="B132" s="282">
        <f aca="true" t="shared" si="16" ref="B132:G132">B26</f>
        <v>2000</v>
      </c>
      <c r="C132" s="282">
        <f t="shared" si="16"/>
        <v>2000</v>
      </c>
      <c r="D132" s="282">
        <f t="shared" si="16"/>
        <v>2000</v>
      </c>
      <c r="E132" s="282">
        <f t="shared" si="16"/>
        <v>2000</v>
      </c>
      <c r="F132" s="282">
        <f t="shared" si="16"/>
        <v>2000</v>
      </c>
      <c r="G132" s="282">
        <f t="shared" si="16"/>
        <v>2000</v>
      </c>
    </row>
    <row r="133" spans="1:7" ht="15">
      <c r="A133" s="277" t="s">
        <v>163</v>
      </c>
      <c r="B133" s="282">
        <f aca="true" t="shared" si="17" ref="B133:G133">B27</f>
        <v>1000</v>
      </c>
      <c r="C133" s="282">
        <f t="shared" si="17"/>
        <v>1000</v>
      </c>
      <c r="D133" s="282">
        <f t="shared" si="17"/>
        <v>1000</v>
      </c>
      <c r="E133" s="282">
        <f t="shared" si="17"/>
        <v>1000</v>
      </c>
      <c r="F133" s="282">
        <f t="shared" si="17"/>
        <v>1000</v>
      </c>
      <c r="G133" s="282">
        <f t="shared" si="17"/>
        <v>1000</v>
      </c>
    </row>
  </sheetData>
  <sheetProtection password="86A6" sheet="1" objects="1" scenarios="1"/>
  <printOptions/>
  <pageMargins left="0.75" right="0.75" top="1" bottom="1" header="0.5" footer="0.5"/>
  <pageSetup fitToHeight="1" fitToWidth="1" orientation="portrait" scale="76" r:id="rId2"/>
  <headerFooter alignWithMargins="0">
    <oddHeader>&amp;R&amp;D</oddHeader>
    <oddFooter>&amp;LIowa Beef Center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Garland RJ Dahlke</dc:creator>
  <cp:keywords/>
  <dc:description/>
  <cp:lastModifiedBy>Garland RJ Dahlke</cp:lastModifiedBy>
  <cp:lastPrinted>2006-08-29T15:56:27Z</cp:lastPrinted>
  <dcterms:created xsi:type="dcterms:W3CDTF">2006-06-15T14:29:53Z</dcterms:created>
  <dcterms:modified xsi:type="dcterms:W3CDTF">2006-08-30T21:05:27Z</dcterms:modified>
  <cp:category/>
  <cp:version/>
  <cp:contentType/>
  <cp:contentStatus/>
</cp:coreProperties>
</file>