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925" windowHeight="13185" tabRatio="810" activeTab="1"/>
  </bookViews>
  <sheets>
    <sheet name="Introduction" sheetId="1" r:id="rId1"/>
    <sheet name="Inputs" sheetId="2" r:id="rId2"/>
    <sheet name="Prices and Spreads" sheetId="3" r:id="rId3"/>
    <sheet name="Inventories" sheetId="4" r:id="rId4"/>
    <sheet name="Depreciation Schedule" sheetId="5" r:id="rId5"/>
    <sheet name="Income Statement" sheetId="6" r:id="rId6"/>
    <sheet name="Monthly Cash Flow" sheetId="7" r:id="rId7"/>
    <sheet name="Annual Cash Flow" sheetId="8" r:id="rId8"/>
    <sheet name="Annual Net Cash Flow Chart" sheetId="9" r:id="rId9"/>
    <sheet name=" Work Cap LOC Chart" sheetId="10" r:id="rId10"/>
    <sheet name="Monthly Net Cash Flow Chart" sheetId="11" r:id="rId11"/>
    <sheet name="Monthly Inventory Chart" sheetId="12" r:id="rId12"/>
    <sheet name="Assumptions and Rations" sheetId="13" r:id="rId13"/>
    <sheet name="Diets and Performance" sheetId="14" r:id="rId14"/>
    <sheet name="Workspace" sheetId="15" r:id="rId15"/>
    <sheet name="Cattle Returns" sheetId="16" r:id="rId16"/>
    <sheet name="Feeding Budgets" sheetId="17" r:id="rId17"/>
    <sheet name="Historic Prices" sheetId="18" r:id="rId18"/>
  </sheets>
  <externalReferences>
    <externalReference r:id="rId21"/>
  </externalReferences>
  <definedNames>
    <definedName name="_xlnm.Print_Area" localSheetId="7">'Annual Cash Flow'!$A$1:$P$58</definedName>
    <definedName name="_xlnm.Print_Area" localSheetId="13">'Diets and Performance'!$A$1:$J$29</definedName>
    <definedName name="_xlnm.Print_Area" localSheetId="16">'Feeding Budgets'!$A$1:$H$43</definedName>
    <definedName name="_xlnm.Print_Area" localSheetId="1">'Inputs'!$A$1:$H$84</definedName>
    <definedName name="_xlnm.Print_Area" localSheetId="3">'Inventories'!$A$10:$N$107</definedName>
    <definedName name="_xlnm.Print_Area" localSheetId="6">'Monthly Cash Flow'!$A$1:$N$54,'Monthly Cash Flow'!$A$56:$N$107,'Monthly Cash Flow'!$A$110:$N$161</definedName>
    <definedName name="_xlnm.Print_Area" localSheetId="2">'Prices and Spreads'!$A$1:$O$43</definedName>
    <definedName name="_xlnm.Print_Titles" localSheetId="7">'Annual Cash Flow'!$A:$A</definedName>
  </definedNames>
  <calcPr fullCalcOnLoad="1"/>
</workbook>
</file>

<file path=xl/comments2.xml><?xml version="1.0" encoding="utf-8"?>
<comments xmlns="http://schemas.openxmlformats.org/spreadsheetml/2006/main">
  <authors>
    <author>John Lawrence</author>
    <author>Economics Department</author>
  </authors>
  <commentList>
    <comment ref="J7" authorId="0">
      <text>
        <r>
          <rPr>
            <b/>
            <sz val="8"/>
            <rFont val="Tahoma"/>
            <family val="0"/>
          </rPr>
          <t>John Lawrence:</t>
        </r>
        <r>
          <rPr>
            <sz val="8"/>
            <rFont val="Tahoma"/>
            <family val="0"/>
          </rPr>
          <t xml:space="preserve">
Labor, forms, steel etc</t>
        </r>
      </text>
    </comment>
    <comment ref="B92" authorId="1">
      <text>
        <r>
          <rPr>
            <b/>
            <sz val="8"/>
            <rFont val="Tahoma"/>
            <family val="0"/>
          </rPr>
          <t>Economics Department:</t>
        </r>
        <r>
          <rPr>
            <sz val="8"/>
            <rFont val="Tahoma"/>
            <family val="0"/>
          </rPr>
          <t xml:space="preserve">
annualized rate on facilities at 12% (5% interest and 7% depreciation).  Annualized rate on equipment at 16% (5% interest and 11% depreciation)</t>
        </r>
      </text>
    </comment>
  </commentList>
</comments>
</file>

<file path=xl/sharedStrings.xml><?xml version="1.0" encoding="utf-8"?>
<sst xmlns="http://schemas.openxmlformats.org/spreadsheetml/2006/main" count="991" uniqueCount="492">
  <si>
    <t>Introduction</t>
  </si>
  <si>
    <t>calculate based on these inputs.  You may add additional inputs</t>
  </si>
  <si>
    <t>by over-writing the lables and adding the desired information.</t>
  </si>
  <si>
    <t>Cells can be edited to correct the model for alternative</t>
  </si>
  <si>
    <t>situations.  Follow the tabs at the bottom of the screen.</t>
  </si>
  <si>
    <t>If you have questions contact</t>
  </si>
  <si>
    <t>John Lawrence, Extension Livestock Economist</t>
  </si>
  <si>
    <t>Iowa State University</t>
  </si>
  <si>
    <t>Ames Iowa</t>
  </si>
  <si>
    <t xml:space="preserve">pens of </t>
  </si>
  <si>
    <t>Date of initial investment</t>
  </si>
  <si>
    <t>Initial Investment</t>
  </si>
  <si>
    <t>Total</t>
  </si>
  <si>
    <t>Purchase</t>
  </si>
  <si>
    <t>Depreciation</t>
  </si>
  <si>
    <t>Amount</t>
  </si>
  <si>
    <t>Month</t>
  </si>
  <si>
    <t>Years</t>
  </si>
  <si>
    <t>NA</t>
  </si>
  <si>
    <t>Bunks</t>
  </si>
  <si>
    <t>Total Investment</t>
  </si>
  <si>
    <t>Financing and Loans and Revenue</t>
  </si>
  <si>
    <t>Equity %</t>
  </si>
  <si>
    <t>Interest</t>
  </si>
  <si>
    <t>Payments</t>
  </si>
  <si>
    <t>Beginning</t>
  </si>
  <si>
    <t>Land</t>
  </si>
  <si>
    <t>Construction</t>
  </si>
  <si>
    <t>Equipment 1</t>
  </si>
  <si>
    <t>Other loans (Overwrite)</t>
  </si>
  <si>
    <t>Line of Credit</t>
  </si>
  <si>
    <t>Total Term Debt</t>
  </si>
  <si>
    <t>Equity Contributions</t>
  </si>
  <si>
    <t>Feed inventory months (1,2, or 3)</t>
  </si>
  <si>
    <t>average purchase to payment</t>
  </si>
  <si>
    <t>Revenue</t>
  </si>
  <si>
    <t>Feed inventory shrink</t>
  </si>
  <si>
    <t>of monthly inventory</t>
  </si>
  <si>
    <t>Yardage ($/space/day)</t>
  </si>
  <si>
    <t>Management fees</t>
  </si>
  <si>
    <t>Feed mark up ($/ton)</t>
  </si>
  <si>
    <t>Salaries</t>
  </si>
  <si>
    <t>Chute charges ($/head)</t>
  </si>
  <si>
    <t>Benefits</t>
  </si>
  <si>
    <t>of salary</t>
  </si>
  <si>
    <t>Fuel</t>
  </si>
  <si>
    <t>Utilities</t>
  </si>
  <si>
    <t>Vet &amp; Consultants</t>
  </si>
  <si>
    <t>Advertising &amp; Promotion</t>
  </si>
  <si>
    <t>Property taxes</t>
  </si>
  <si>
    <t>of value</t>
  </si>
  <si>
    <t>Insurance</t>
  </si>
  <si>
    <t>Repairs</t>
  </si>
  <si>
    <t>Miscellaneous</t>
  </si>
  <si>
    <t>Other (overwrite)</t>
  </si>
  <si>
    <t xml:space="preserve">Cattle and Feed Inventories </t>
  </si>
  <si>
    <t>Year 1</t>
  </si>
  <si>
    <t>Cattle Inventory</t>
  </si>
  <si>
    <t>Placement weight</t>
  </si>
  <si>
    <t>Under 700 pounds</t>
  </si>
  <si>
    <t>Over 700 pounds</t>
  </si>
  <si>
    <t>Occupancy rate</t>
  </si>
  <si>
    <t>Feed Quanties</t>
  </si>
  <si>
    <t xml:space="preserve">  Corn (bu)</t>
  </si>
  <si>
    <t xml:space="preserve">  Mixed hay (ton)</t>
  </si>
  <si>
    <t xml:space="preserve">  Other Feed (ton)</t>
  </si>
  <si>
    <t xml:space="preserve">  Natural Sup (cwt)</t>
  </si>
  <si>
    <t>Feed Inventory Cost</t>
  </si>
  <si>
    <t xml:space="preserve">  Corn</t>
  </si>
  <si>
    <t>Year 2</t>
  </si>
  <si>
    <t>Year 3</t>
  </si>
  <si>
    <t>Long Run</t>
  </si>
  <si>
    <t>Annual</t>
  </si>
  <si>
    <t>Total feed (ton)</t>
  </si>
  <si>
    <t>Diets and Performance</t>
  </si>
  <si>
    <t>Corn Price Differential</t>
  </si>
  <si>
    <t>5 Year Average basis 2nd week of each month</t>
  </si>
  <si>
    <t>Pay weight basis</t>
  </si>
  <si>
    <t>Steer</t>
  </si>
  <si>
    <t>Heifer</t>
  </si>
  <si>
    <t>Base Diet</t>
  </si>
  <si>
    <t>Seast</t>
  </si>
  <si>
    <t>Central</t>
  </si>
  <si>
    <t>Nwest</t>
  </si>
  <si>
    <t>Start weight</t>
  </si>
  <si>
    <t>Jan</t>
  </si>
  <si>
    <t>Finish weight</t>
  </si>
  <si>
    <t>Feb</t>
  </si>
  <si>
    <t>Avg. Daily Gain</t>
  </si>
  <si>
    <t>Mar</t>
  </si>
  <si>
    <t>Apr</t>
  </si>
  <si>
    <t>Days on feed</t>
  </si>
  <si>
    <t>May</t>
  </si>
  <si>
    <t>Death loss</t>
  </si>
  <si>
    <t>Jun</t>
  </si>
  <si>
    <t>Percent of Diet</t>
  </si>
  <si>
    <t>Jly</t>
  </si>
  <si>
    <t>Oct</t>
  </si>
  <si>
    <t>Nov</t>
  </si>
  <si>
    <t xml:space="preserve">  Mixed hay</t>
  </si>
  <si>
    <t>Dec</t>
  </si>
  <si>
    <t xml:space="preserve">  Other feed</t>
  </si>
  <si>
    <t xml:space="preserve">  Supplement </t>
  </si>
  <si>
    <t>Northwest</t>
  </si>
  <si>
    <t xml:space="preserve">    Urea based</t>
  </si>
  <si>
    <t>Quantities</t>
  </si>
  <si>
    <t xml:space="preserve">  Supplement (cwt)</t>
  </si>
  <si>
    <t xml:space="preserve">  Total pounds as-fed</t>
  </si>
  <si>
    <t>Prices and Seasonal Patterns</t>
  </si>
  <si>
    <t>Annual Average Estimates</t>
  </si>
  <si>
    <t>Feedstuffs</t>
  </si>
  <si>
    <t>Corn $/bu</t>
  </si>
  <si>
    <t>Mixed hay $/ton</t>
  </si>
  <si>
    <t xml:space="preserve">    Natural Sup (cwt)</t>
  </si>
  <si>
    <t xml:space="preserve">    Urea Based Sup (cwt)</t>
  </si>
  <si>
    <t>Seasonal Price Index</t>
  </si>
  <si>
    <t>Jul</t>
  </si>
  <si>
    <t>Aug</t>
  </si>
  <si>
    <t>Sep</t>
  </si>
  <si>
    <t>Average</t>
  </si>
  <si>
    <t>Fuel and Utility Usage</t>
  </si>
  <si>
    <t>Steers</t>
  </si>
  <si>
    <t>Spread</t>
  </si>
  <si>
    <t xml:space="preserve">  500-600</t>
  </si>
  <si>
    <t xml:space="preserve">  600-700</t>
  </si>
  <si>
    <t xml:space="preserve">  700-800</t>
  </si>
  <si>
    <t>Heifers</t>
  </si>
  <si>
    <t>Monthly Cashflow</t>
  </si>
  <si>
    <t>Cash Out Flow</t>
  </si>
  <si>
    <t>Year</t>
  </si>
  <si>
    <t>Term Debt Payments</t>
  </si>
  <si>
    <t>Copy Row 8 down as needed for additional loans</t>
  </si>
  <si>
    <t xml:space="preserve">Total Term Debt </t>
  </si>
  <si>
    <t>Cash Expenses</t>
  </si>
  <si>
    <t>Feed Purchases</t>
  </si>
  <si>
    <t>Total Operating Exp</t>
  </si>
  <si>
    <t>Total cash outflow</t>
  </si>
  <si>
    <t>Feed bills collected</t>
  </si>
  <si>
    <t>Yardage</t>
  </si>
  <si>
    <t xml:space="preserve">Feed mark up </t>
  </si>
  <si>
    <t xml:space="preserve">Chute charges </t>
  </si>
  <si>
    <t>Total Revenue</t>
  </si>
  <si>
    <t>Net Cash Flow</t>
  </si>
  <si>
    <t>Cash Balance / LOC</t>
  </si>
  <si>
    <t>Copy Row 53 down as needed for additional loans</t>
  </si>
  <si>
    <t>Copy Row 108 down as needed for additional loans</t>
  </si>
  <si>
    <t>Occupancy Rate</t>
  </si>
  <si>
    <t>Inflation rate</t>
  </si>
  <si>
    <t>Yardage Rate</t>
  </si>
  <si>
    <t>Feed mark up rate</t>
  </si>
  <si>
    <t xml:space="preserve">Chute charge rate </t>
  </si>
  <si>
    <t>Inventory</t>
  </si>
  <si>
    <t>% DM</t>
  </si>
  <si>
    <t>Feed Efficiency (DM)</t>
  </si>
  <si>
    <t>Iowa Beef Center</t>
  </si>
  <si>
    <t>Annual Feed Quanties Year 3</t>
  </si>
  <si>
    <t>Feed Inventory Cost Year 3</t>
  </si>
  <si>
    <t>Prepared by Iowa State University Extension Economics</t>
  </si>
  <si>
    <t>Purchase Weight</t>
  </si>
  <si>
    <t>Finished Weight</t>
  </si>
  <si>
    <t>Days on Feed</t>
  </si>
  <si>
    <t>COSTS (per head):</t>
  </si>
  <si>
    <t xml:space="preserve">  Feeder Cost</t>
  </si>
  <si>
    <t>FEED COSTS:</t>
  </si>
  <si>
    <t>Corn Price and bushels</t>
  </si>
  <si>
    <t xml:space="preserve">  Corn Cost</t>
  </si>
  <si>
    <t>Hay Price &amp; tons</t>
  </si>
  <si>
    <t xml:space="preserve">  Hay Cost</t>
  </si>
  <si>
    <t>TOTAL FEED COSTS:</t>
  </si>
  <si>
    <t>OTHER COSTS:</t>
  </si>
  <si>
    <t>Vet medical &amp; operating costs</t>
  </si>
  <si>
    <t>Interest - Feeder</t>
  </si>
  <si>
    <t xml:space="preserve">         - Feed/Operating</t>
  </si>
  <si>
    <t>Death Loss % of purchase price</t>
  </si>
  <si>
    <t xml:space="preserve">         - Cost</t>
  </si>
  <si>
    <t>Transportation/Marketing Cost</t>
  </si>
  <si>
    <t>TOTAL OTHER COSTS</t>
  </si>
  <si>
    <t>TOTAL COST TO FINISH ANIMAL</t>
  </si>
  <si>
    <t>Necessary Selling Price/cwt:</t>
  </si>
  <si>
    <t>Feeder Cattle Budget Worksheet</t>
  </si>
  <si>
    <t>Long run average Feeder - Fed Spreads</t>
  </si>
  <si>
    <t xml:space="preserve">  Co-product cost</t>
  </si>
  <si>
    <t>Corn Co-product Price &amp; tons</t>
  </si>
  <si>
    <t>Yardage &amp; Feed-Markup</t>
  </si>
  <si>
    <t>To Cover Total Costs</t>
  </si>
  <si>
    <t>Selling Price Based on 1990-99 Averge</t>
  </si>
  <si>
    <t>Net Return to Feeding Cattle ($/head)</t>
  </si>
  <si>
    <t>Total Value of Animal Marketed</t>
  </si>
  <si>
    <t>Feeder Price/cwt (Average 1990-99)</t>
  </si>
  <si>
    <t>Feedlot Feasibility Model</t>
  </si>
  <si>
    <t>Cost per Head Capacity</t>
  </si>
  <si>
    <t>Equipment</t>
  </si>
  <si>
    <t>Total w/o working capital</t>
  </si>
  <si>
    <t xml:space="preserve">Projections for </t>
  </si>
  <si>
    <t>Environmental equipment</t>
  </si>
  <si>
    <t xml:space="preserve">  Pounds per day</t>
  </si>
  <si>
    <t xml:space="preserve">  Feedyard income per head</t>
  </si>
  <si>
    <t xml:space="preserve">  Feedyard cost per head day</t>
  </si>
  <si>
    <t>Placements under 700</t>
  </si>
  <si>
    <t>Placements per month</t>
  </si>
  <si>
    <t>Based on NE Placements</t>
  </si>
  <si>
    <t>Total capacity</t>
  </si>
  <si>
    <t>Occupancy</t>
  </si>
  <si>
    <t>Turns/year</t>
  </si>
  <si>
    <t>Annual Marketings</t>
  </si>
  <si>
    <t>Annual Pre-tax Cashflow</t>
  </si>
  <si>
    <t>Trucking</t>
  </si>
  <si>
    <t>DOF</t>
  </si>
  <si>
    <t>Sold</t>
  </si>
  <si>
    <t>Calves</t>
  </si>
  <si>
    <t>Yearlings</t>
  </si>
  <si>
    <t>Std Dev</t>
  </si>
  <si>
    <t>Min</t>
  </si>
  <si>
    <t>Max</t>
  </si>
  <si>
    <t>Count</t>
  </si>
  <si>
    <t>LT -$100</t>
  </si>
  <si>
    <t>-$100 to -$75</t>
  </si>
  <si>
    <t>-$75 to -$50</t>
  </si>
  <si>
    <t>-$50 to -$25</t>
  </si>
  <si>
    <t>-$25 to -$0</t>
  </si>
  <si>
    <t>$0 to $25</t>
  </si>
  <si>
    <t>$25 to $50</t>
  </si>
  <si>
    <t>$50 to $75</t>
  </si>
  <si>
    <t>$75 to $100</t>
  </si>
  <si>
    <t>$100 to $125</t>
  </si>
  <si>
    <t>$125 to $150</t>
  </si>
  <si>
    <t>GT $150</t>
  </si>
  <si>
    <t>Calf</t>
  </si>
  <si>
    <t>Yrlg</t>
  </si>
  <si>
    <t>Per head cost calculator</t>
  </si>
  <si>
    <t>Concrete</t>
  </si>
  <si>
    <t xml:space="preserve">   Floor space sq ft/head</t>
  </si>
  <si>
    <t>Building</t>
  </si>
  <si>
    <t xml:space="preserve">   Sq ft per head</t>
  </si>
  <si>
    <t xml:space="preserve">   Price $/sq ft</t>
  </si>
  <si>
    <t xml:space="preserve">   Walls sq ft/hd</t>
  </si>
  <si>
    <t xml:space="preserve">   Alleys sq ft / hd</t>
  </si>
  <si>
    <t xml:space="preserve">   Thickness in ft</t>
  </si>
  <si>
    <t xml:space="preserve">   Price for material ($/yard)</t>
  </si>
  <si>
    <t xml:space="preserve">   Price for installation ($/yard)</t>
  </si>
  <si>
    <t xml:space="preserve">  Cost per head</t>
  </si>
  <si>
    <t>Pens</t>
  </si>
  <si>
    <t xml:space="preserve">   Head per pen</t>
  </si>
  <si>
    <t xml:space="preserve">   Gate price</t>
  </si>
  <si>
    <t xml:space="preserve">   Gates/pen</t>
  </si>
  <si>
    <t xml:space="preserve">   Fence price ($/ft)</t>
  </si>
  <si>
    <t xml:space="preserve">   Waterer price</t>
  </si>
  <si>
    <t xml:space="preserve">   Waterer/pen</t>
  </si>
  <si>
    <t xml:space="preserve">   Bunk space ft/head</t>
  </si>
  <si>
    <t xml:space="preserve">   Bunk price $/ft</t>
  </si>
  <si>
    <t>Concrete, Building and Pens</t>
  </si>
  <si>
    <t xml:space="preserve">Land  </t>
  </si>
  <si>
    <t>Facilities</t>
  </si>
  <si>
    <t>year</t>
  </si>
  <si>
    <t>Yearling</t>
  </si>
  <si>
    <t>In Wt</t>
  </si>
  <si>
    <t>Out wt</t>
  </si>
  <si>
    <t>ADG</t>
  </si>
  <si>
    <t>FE dm</t>
  </si>
  <si>
    <t>Control</t>
  </si>
  <si>
    <t>% As fed</t>
  </si>
  <si>
    <t>#AsFed</t>
  </si>
  <si>
    <t>Dry rolled corn</t>
  </si>
  <si>
    <t>Alf/brome</t>
  </si>
  <si>
    <t>Corn silage</t>
  </si>
  <si>
    <t>Urea</t>
  </si>
  <si>
    <t>Limestone</t>
  </si>
  <si>
    <t>Salt</t>
  </si>
  <si>
    <t>Vitamin A</t>
  </si>
  <si>
    <t>Trace minerals</t>
  </si>
  <si>
    <t>Rumensin</t>
  </si>
  <si>
    <t>Control+20%DGS</t>
  </si>
  <si>
    <t>Wet DGS</t>
  </si>
  <si>
    <t>Control+40%DGS</t>
  </si>
  <si>
    <t>WDGS</t>
  </si>
  <si>
    <t>YEARLING PRICE</t>
  </si>
  <si>
    <t>CALF PRICE</t>
  </si>
  <si>
    <t>STEER PRICE</t>
  </si>
  <si>
    <t>CORN PRICE</t>
  </si>
  <si>
    <t>HAY PRICE</t>
  </si>
  <si>
    <t>SILAGE PRICE</t>
  </si>
  <si>
    <t>SUP36 PRICE</t>
  </si>
  <si>
    <t>SUP50 PRICE</t>
  </si>
  <si>
    <t>PCINTR</t>
  </si>
  <si>
    <t>YEARLP</t>
  </si>
  <si>
    <t>CALFP</t>
  </si>
  <si>
    <t>STEERP</t>
  </si>
  <si>
    <t>CORNP</t>
  </si>
  <si>
    <t>HAYP</t>
  </si>
  <si>
    <t>SILAGEP</t>
  </si>
  <si>
    <t>SUPTS</t>
  </si>
  <si>
    <t>SUPFO</t>
  </si>
  <si>
    <t>Feed Cost</t>
  </si>
  <si>
    <t>Other Cost</t>
  </si>
  <si>
    <t>By selling month</t>
  </si>
  <si>
    <t>V&amp;M supp</t>
  </si>
  <si>
    <t>Vet Med</t>
  </si>
  <si>
    <t>WDGS Dry Matter</t>
  </si>
  <si>
    <t>WDGS Price of corn</t>
  </si>
  <si>
    <t>Calculated using 40% WDGS in ration</t>
  </si>
  <si>
    <t>Pay wt</t>
  </si>
  <si>
    <t xml:space="preserve">Calculated Returns for Calves and Yearlings </t>
  </si>
  <si>
    <t>%  Dry</t>
  </si>
  <si>
    <t>DM Intake</t>
  </si>
  <si>
    <t xml:space="preserve"> WDGS</t>
  </si>
  <si>
    <t xml:space="preserve">  Corn Silage</t>
  </si>
  <si>
    <t xml:space="preserve">  Corn Silage (ton)</t>
  </si>
  <si>
    <t xml:space="preserve">  WDGS (T)</t>
  </si>
  <si>
    <t xml:space="preserve">    Vit&amp;Min Sup (cwt)</t>
  </si>
  <si>
    <t xml:space="preserve">  Vit&amp;Min Suppl (cwt)</t>
  </si>
  <si>
    <t xml:space="preserve">    Vit&amp;Min Suppl</t>
  </si>
  <si>
    <t>Corn Silage Price &amp; tons</t>
  </si>
  <si>
    <t xml:space="preserve"> Corn Silage Cost</t>
  </si>
  <si>
    <t>Vit&amp;Min Price &amp; tons</t>
  </si>
  <si>
    <t xml:space="preserve">   Vit&amp;Min Cost</t>
  </si>
  <si>
    <t>J</t>
  </si>
  <si>
    <t>F</t>
  </si>
  <si>
    <t>M</t>
  </si>
  <si>
    <t>A</t>
  </si>
  <si>
    <t>S</t>
  </si>
  <si>
    <t>O</t>
  </si>
  <si>
    <t>N</t>
  </si>
  <si>
    <t>D</t>
  </si>
  <si>
    <t>Avg</t>
  </si>
  <si>
    <t>Fed</t>
  </si>
  <si>
    <t>Corn</t>
  </si>
  <si>
    <t>High</t>
  </si>
  <si>
    <t>Low</t>
  </si>
  <si>
    <t>Cattle Purchases</t>
  </si>
  <si>
    <t>Cattle Sales</t>
  </si>
  <si>
    <t>Placements</t>
  </si>
  <si>
    <t>96-05</t>
  </si>
  <si>
    <t>Fed Cattle Sold</t>
  </si>
  <si>
    <t>Calves placed</t>
  </si>
  <si>
    <t>Yearlings Placed</t>
  </si>
  <si>
    <t>Calf Price</t>
  </si>
  <si>
    <t>Yearling Price</t>
  </si>
  <si>
    <t>Cattle Interest</t>
  </si>
  <si>
    <t>Calves Placed</t>
  </si>
  <si>
    <t>Cattle interest paid at slaughter</t>
  </si>
  <si>
    <t>Feed interest</t>
  </si>
  <si>
    <t>Feds</t>
  </si>
  <si>
    <t>Cattle</t>
  </si>
  <si>
    <t>Energy</t>
  </si>
  <si>
    <t>Cattle (Steers)</t>
  </si>
  <si>
    <t>Long Term Annual</t>
  </si>
  <si>
    <t>Cattle Loans</t>
  </si>
  <si>
    <t>Trucking, cattle</t>
  </si>
  <si>
    <t>Truckinig, cattle</t>
  </si>
  <si>
    <t>North Iowa</t>
  </si>
  <si>
    <t>Summary of Monthly 1990-2005 Returns</t>
  </si>
  <si>
    <t>Example Feedyard with Cattle</t>
  </si>
  <si>
    <t>Cattle Purchased by yard</t>
  </si>
  <si>
    <t>Land and Facility</t>
  </si>
  <si>
    <t>Other Capital Invested</t>
  </si>
  <si>
    <t>Depreciation Schedule</t>
  </si>
  <si>
    <t>Total Depreciation</t>
  </si>
  <si>
    <t xml:space="preserve">Salvage </t>
  </si>
  <si>
    <t>Straight</t>
  </si>
  <si>
    <t>Value</t>
  </si>
  <si>
    <t>Line</t>
  </si>
  <si>
    <t>Supplement bins/tanks/pumps/motors</t>
  </si>
  <si>
    <t>Feed truck/wagon</t>
  </si>
  <si>
    <t>End loader/grapple forks</t>
  </si>
  <si>
    <t>Tractor (2)</t>
  </si>
  <si>
    <t>Truck spreader</t>
  </si>
  <si>
    <t>Bale processor/skid loader/mower</t>
  </si>
  <si>
    <t>Waterers</t>
  </si>
  <si>
    <t>Miscellaneous equipment/parts</t>
  </si>
  <si>
    <t>Contingency</t>
  </si>
  <si>
    <t>Year started</t>
  </si>
  <si>
    <r>
      <t xml:space="preserve"> </t>
    </r>
    <r>
      <rPr>
        <b/>
        <sz val="14"/>
        <rFont val="Times New Roman"/>
        <family val="1"/>
      </rPr>
      <t xml:space="preserve">Net Farm Income Statement, Third Year of Operation </t>
    </r>
    <r>
      <rPr>
        <sz val="14"/>
        <rFont val="Times New Roman"/>
        <family val="1"/>
      </rPr>
      <t xml:space="preserve"> </t>
    </r>
  </si>
  <si>
    <t xml:space="preserve"> Name </t>
  </si>
  <si>
    <t xml:space="preserve"> Year  </t>
  </si>
  <si>
    <r>
      <t xml:space="preserve"> </t>
    </r>
    <r>
      <rPr>
        <b/>
        <sz val="10"/>
        <rFont val="Times New Roman"/>
        <family val="1"/>
      </rPr>
      <t xml:space="preserve">Income </t>
    </r>
    <r>
      <rPr>
        <sz val="10"/>
        <rFont val="Times New Roman"/>
        <family val="1"/>
      </rPr>
      <t xml:space="preserve"> </t>
    </r>
  </si>
  <si>
    <t xml:space="preserve"> </t>
  </si>
  <si>
    <r>
      <t xml:space="preserve"> </t>
    </r>
    <r>
      <rPr>
        <b/>
        <sz val="10"/>
        <rFont val="Times New Roman"/>
        <family val="1"/>
      </rPr>
      <t xml:space="preserve">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</si>
  <si>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Income Adjustments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</si>
  <si>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Ending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</si>
  <si>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Beginning </t>
    </r>
    <r>
      <rPr>
        <sz val="10"/>
        <rFont val="Times New Roman"/>
        <family val="1"/>
      </rPr>
      <t xml:space="preserve"> </t>
    </r>
  </si>
  <si>
    <t xml:space="preserve"> Sale of livestock, other bought for resale  </t>
  </si>
  <si>
    <t xml:space="preserve"> Crops held for sale or feed (Sched. A)  </t>
  </si>
  <si>
    <t xml:space="preserve"> Sales of feed </t>
  </si>
  <si>
    <t xml:space="preserve"> Market livestock (Sched. E)  </t>
  </si>
  <si>
    <t xml:space="preserve"> Cooperative distributions paid  </t>
  </si>
  <si>
    <t xml:space="preserve"> Accounts receivable (Sched. G)  </t>
  </si>
  <si>
    <t xml:space="preserve"> Agricultural program payments  </t>
  </si>
  <si>
    <t xml:space="preserve"> Unpaid coop. distributions (Sched. H)  </t>
  </si>
  <si>
    <t xml:space="preserve"> Crop insurance proceeds  </t>
  </si>
  <si>
    <t xml:space="preserve"> Breeding livestock (Sched. I)  </t>
  </si>
  <si>
    <t xml:space="preserve"> Custom hire income  </t>
  </si>
  <si>
    <r>
      <t xml:space="preserve"> </t>
    </r>
    <r>
      <rPr>
        <b/>
        <sz val="10"/>
        <rFont val="Times New Roman"/>
        <family val="1"/>
      </rPr>
      <t xml:space="preserve">b.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</si>
  <si>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c. </t>
    </r>
    <r>
      <rPr>
        <sz val="10"/>
        <rFont val="Times New Roman"/>
        <family val="1"/>
      </rPr>
      <t xml:space="preserve"> </t>
    </r>
  </si>
  <si>
    <t xml:space="preserve"> Other cash income  </t>
  </si>
  <si>
    <r>
      <t xml:space="preserve"> </t>
    </r>
    <r>
      <rPr>
        <b/>
        <sz val="10"/>
        <rFont val="Times New Roman"/>
        <family val="1"/>
      </rPr>
      <t xml:space="preserve">Subtotal of Adjustments </t>
    </r>
    <r>
      <rPr>
        <sz val="10"/>
        <rFont val="Times New Roman"/>
        <family val="1"/>
      </rPr>
      <t xml:space="preserve"> </t>
    </r>
  </si>
  <si>
    <t xml:space="preserve"> Sales of breeding livestock  </t>
  </si>
  <si>
    <r>
      <t xml:space="preserve"> </t>
    </r>
    <r>
      <rPr>
        <b/>
        <sz val="10"/>
        <rFont val="Times New Roman"/>
        <family val="1"/>
      </rPr>
      <t xml:space="preserve">d. Value of Home Used Production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</si>
  <si>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a. Total 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</si>
  <si>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e. Gross Farm Revenue (a + b – c + d)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</si>
  <si>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</si>
  <si>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</si>
  <si>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 Adjustments </t>
    </r>
    <r>
      <rPr>
        <sz val="10"/>
        <rFont val="Times New Roman"/>
        <family val="1"/>
      </rPr>
      <t xml:space="preserve"> </t>
    </r>
  </si>
  <si>
    <t xml:space="preserve"> Car and truck expenses  </t>
  </si>
  <si>
    <t xml:space="preserve"> Investment in growing crops (Sched. B)  </t>
  </si>
  <si>
    <t xml:space="preserve"> Chemicals  </t>
  </si>
  <si>
    <t xml:space="preserve"> Commercial feed on hand (Sched. C)  </t>
  </si>
  <si>
    <t xml:space="preserve"> Conservation expenses  </t>
  </si>
  <si>
    <t xml:space="preserve"> Prepaid expenses (Sched. D)  </t>
  </si>
  <si>
    <t xml:space="preserve"> Custom hire  </t>
  </si>
  <si>
    <t xml:space="preserve"> Supplies on hand (Sched. F)  </t>
  </si>
  <si>
    <t xml:space="preserve"> Employee benefits  </t>
  </si>
  <si>
    <t xml:space="preserve"> Feed purchased  </t>
  </si>
  <si>
    <t xml:space="preserve"> Accounts payable (Sched. N)  </t>
  </si>
  <si>
    <t xml:space="preserve"> Fertilizer and lime  </t>
  </si>
  <si>
    <t xml:space="preserve"> Farm taxes due (Sched. O)  </t>
  </si>
  <si>
    <t xml:space="preserve"> Freight, trucking  </t>
  </si>
  <si>
    <t xml:space="preserve"> Accrued interest (Sched. P, Q)  </t>
  </si>
  <si>
    <t xml:space="preserve"> Gasoline, fuel, oil  </t>
  </si>
  <si>
    <r>
      <t xml:space="preserve"> </t>
    </r>
    <r>
      <rPr>
        <b/>
        <sz val="10"/>
        <rFont val="Times New Roman"/>
        <family val="1"/>
      </rPr>
      <t xml:space="preserve">g.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</si>
  <si>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h. </t>
    </r>
    <r>
      <rPr>
        <sz val="10"/>
        <rFont val="Times New Roman"/>
        <family val="1"/>
      </rPr>
      <t xml:space="preserve"> </t>
    </r>
  </si>
  <si>
    <t xml:space="preserve"> Insurance  </t>
  </si>
  <si>
    <t xml:space="preserve"> Interest paid  </t>
  </si>
  <si>
    <t xml:space="preserve"> Labor hired  </t>
  </si>
  <si>
    <r>
      <t xml:space="preserve"> </t>
    </r>
    <r>
      <rPr>
        <b/>
        <sz val="10"/>
        <rFont val="Times New Roman"/>
        <family val="1"/>
      </rPr>
      <t xml:space="preserve">i. Depreciation (Sched. J, K) </t>
    </r>
    <r>
      <rPr>
        <sz val="10"/>
        <rFont val="Times New Roman"/>
        <family val="1"/>
      </rPr>
      <t xml:space="preserve"> </t>
    </r>
  </si>
  <si>
    <t xml:space="preserve"> Management fees</t>
  </si>
  <si>
    <r>
      <t xml:space="preserve"> </t>
    </r>
    <r>
      <rPr>
        <b/>
        <sz val="10"/>
        <rFont val="Times New Roman"/>
        <family val="1"/>
      </rPr>
      <t xml:space="preserve">j. Gross Farm Expenses (f + g – h + i) </t>
    </r>
    <r>
      <rPr>
        <sz val="10"/>
        <rFont val="Times New Roman"/>
        <family val="1"/>
      </rPr>
      <t xml:space="preserve"> </t>
    </r>
  </si>
  <si>
    <t xml:space="preserve"> Rent or lease payments  </t>
  </si>
  <si>
    <t xml:space="preserve"> Repairs, maintenance  </t>
  </si>
  <si>
    <t xml:space="preserve"> Seeds, plants  </t>
  </si>
  <si>
    <t xml:space="preserve"> k. Net Farm Income from Operations (e - j)</t>
  </si>
  <si>
    <t xml:space="preserve"> Storage, warehousing  </t>
  </si>
  <si>
    <t xml:space="preserve"> Supplies purchased  </t>
  </si>
  <si>
    <t xml:space="preserve"> Taxes (farm)  </t>
  </si>
  <si>
    <r>
      <t xml:space="preserve"> </t>
    </r>
    <r>
      <rPr>
        <b/>
        <sz val="10"/>
        <rFont val="Times New Roman"/>
        <family val="1"/>
      </rPr>
      <t xml:space="preserve">l. Sales of Farm Capital Assets </t>
    </r>
    <r>
      <rPr>
        <sz val="10"/>
        <rFont val="Times New Roman"/>
        <family val="1"/>
      </rPr>
      <t xml:space="preserve"> </t>
    </r>
  </si>
  <si>
    <t xml:space="preserve"> Utilities  </t>
  </si>
  <si>
    <r>
      <t xml:space="preserve"> </t>
    </r>
    <r>
      <rPr>
        <b/>
        <sz val="10"/>
        <rFont val="Times New Roman"/>
        <family val="1"/>
      </rPr>
      <t xml:space="preserve">m. Cost Value of Items Sold (Sched. J, K, L) </t>
    </r>
    <r>
      <rPr>
        <sz val="10"/>
        <rFont val="Times New Roman"/>
        <family val="1"/>
      </rPr>
      <t xml:space="preserve"> </t>
    </r>
  </si>
  <si>
    <t xml:space="preserve"> Veterinary fees, medicine, breeding  </t>
  </si>
  <si>
    <r>
      <t xml:space="preserve"> </t>
    </r>
    <r>
      <rPr>
        <b/>
        <sz val="10"/>
        <rFont val="Times New Roman"/>
        <family val="1"/>
      </rPr>
      <t xml:space="preserve">n. Capital Gains or Losses (l – m) </t>
    </r>
    <r>
      <rPr>
        <sz val="10"/>
        <rFont val="Times New Roman"/>
        <family val="1"/>
      </rPr>
      <t xml:space="preserve"> </t>
    </r>
  </si>
  <si>
    <t xml:space="preserve"> Other cash expenses  </t>
  </si>
  <si>
    <t xml:space="preserve"> Livestock purchased  </t>
  </si>
  <si>
    <r>
      <t xml:space="preserve"> </t>
    </r>
    <r>
      <rPr>
        <b/>
        <sz val="10"/>
        <rFont val="Times New Roman"/>
        <family val="1"/>
      </rPr>
      <t xml:space="preserve">f. Total 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</si>
  <si>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o. Net Farm Income (k + n) </t>
    </r>
    <r>
      <rPr>
        <sz val="10"/>
        <rFont val="Times New Roman"/>
        <family val="1"/>
      </rPr>
      <t xml:space="preserve"> </t>
    </r>
  </si>
  <si>
    <t xml:space="preserve">Unadjusted Income per head summary </t>
  </si>
  <si>
    <t>Annual marketings</t>
  </si>
  <si>
    <t>Income per head</t>
  </si>
  <si>
    <t>Expense per head</t>
  </si>
  <si>
    <t>Net per head</t>
  </si>
  <si>
    <t>Interest paid LOC</t>
  </si>
  <si>
    <t>Interest on LOC</t>
  </si>
  <si>
    <t>Percent of cattle owned? (0-100%)</t>
  </si>
  <si>
    <t>WDGS (%DM, % corn p)</t>
  </si>
  <si>
    <t>Feeding Budget</t>
  </si>
  <si>
    <t>Expected feeding Returns given these budgets and prices</t>
  </si>
  <si>
    <t xml:space="preserve">   Cost of Gain</t>
  </si>
  <si>
    <t xml:space="preserve">   Breakeven</t>
  </si>
  <si>
    <t xml:space="preserve">   Grid Premium $/Hd</t>
  </si>
  <si>
    <t xml:space="preserve">   Net Return $/Hd</t>
  </si>
  <si>
    <t>These are the two set of figures that are used in the Cashflow Model</t>
  </si>
  <si>
    <t>If you want to evaluate other types of cattle complete these columns then "copy and paste it into column C or D.</t>
  </si>
  <si>
    <t>Using 40% WDGS and estimated performance and historic prices for cattle, grains and interest</t>
  </si>
  <si>
    <t>Financial Performance</t>
  </si>
  <si>
    <t>Net Present Value</t>
  </si>
  <si>
    <t>15 Years @</t>
  </si>
  <si>
    <t>Internal Rate of Return</t>
  </si>
  <si>
    <t>salvage value</t>
  </si>
  <si>
    <t>Initial line of Credit</t>
  </si>
  <si>
    <t>Total operating expenses</t>
  </si>
  <si>
    <t>Operating expense $/hd</t>
  </si>
  <si>
    <t>Average Head Days</t>
  </si>
  <si>
    <t>Average operating yardage</t>
  </si>
  <si>
    <t>Average ownership yardage</t>
  </si>
  <si>
    <t>This spreadsheet is a cash flow model for the start up period and 15 years</t>
  </si>
  <si>
    <t xml:space="preserve">of a cattle feedlot that can own from 0-100% of the cattle.  Start with the input page </t>
  </si>
  <si>
    <t>The required inputs are in Yellow boxes.  The rest of the model will</t>
  </si>
  <si>
    <t>Excavation/landscaping</t>
  </si>
  <si>
    <t>Commodity shed</t>
  </si>
  <si>
    <t>Water system</t>
  </si>
  <si>
    <t>Shop</t>
  </si>
  <si>
    <t>Concrete work</t>
  </si>
  <si>
    <t>Lanes and gravel</t>
  </si>
  <si>
    <t>Receiving/processing area</t>
  </si>
  <si>
    <t>Two monoslope barns</t>
  </si>
  <si>
    <t>Manure storage structure</t>
  </si>
  <si>
    <t>Office/equipment</t>
  </si>
  <si>
    <t>Scales</t>
  </si>
  <si>
    <t>Electrical and lighting</t>
  </si>
  <si>
    <t>Engineering &amp; Misc</t>
  </si>
  <si>
    <t>Land, 40 acres</t>
  </si>
  <si>
    <t xml:space="preserve">Management </t>
  </si>
  <si>
    <t>Owenrship per head</t>
  </si>
  <si>
    <t>Return on Investment</t>
  </si>
  <si>
    <t>Return on Equity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</si>
</sst>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0.0%"/>
    <numFmt numFmtId="167" formatCode="0_)"/>
    <numFmt numFmtId="168" formatCode="0.00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&quot;$&quot;#,##0"/>
    <numFmt numFmtId="176" formatCode="dd\-mmm\-yy_)"/>
    <numFmt numFmtId="177" formatCode="0.0_)"/>
    <numFmt numFmtId="178" formatCode="&quot;$&quot;#,##0.000_);\(&quot;$&quot;#,##0.000\)"/>
    <numFmt numFmtId="179" formatCode="&quot;$&quot;#,##0.00"/>
    <numFmt numFmtId="180" formatCode="0.0"/>
    <numFmt numFmtId="181" formatCode="[$-409]dddd\,\ mmmm\ dd\,\ yyyy"/>
    <numFmt numFmtId="182" formatCode="[$-409]mmmmm;@"/>
    <numFmt numFmtId="183" formatCode="[$-409]mmm\-yy;@"/>
    <numFmt numFmtId="184" formatCode="&quot;$&quot;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_);\(&quot;$&quot;#,##0.0\)"/>
  </numFmts>
  <fonts count="2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  <font>
      <sz val="12"/>
      <name val="CG Times"/>
      <family val="1"/>
    </font>
    <font>
      <b/>
      <sz val="12"/>
      <name val="CG Times"/>
      <family val="1"/>
    </font>
    <font>
      <sz val="12"/>
      <color indexed="10"/>
      <name val="Times New Roman"/>
      <family val="1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right"/>
      <protection/>
    </xf>
    <xf numFmtId="170" fontId="6" fillId="0" borderId="0" xfId="15" applyNumberFormat="1" applyFont="1" applyAlignment="1" applyProtection="1">
      <alignment/>
      <protection/>
    </xf>
    <xf numFmtId="164" fontId="6" fillId="0" borderId="0" xfId="0" applyFont="1" applyAlignment="1">
      <alignment horizontal="left"/>
    </xf>
    <xf numFmtId="164" fontId="6" fillId="0" borderId="1" xfId="0" applyFont="1" applyBorder="1" applyAlignment="1">
      <alignment/>
    </xf>
    <xf numFmtId="17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 horizontal="right"/>
      <protection/>
    </xf>
    <xf numFmtId="6" fontId="6" fillId="0" borderId="0" xfId="0" applyNumberFormat="1" applyFont="1" applyAlignment="1" applyProtection="1">
      <alignment horizontal="right"/>
      <protection/>
    </xf>
    <xf numFmtId="9" fontId="6" fillId="0" borderId="1" xfId="21" applyFont="1" applyBorder="1" applyAlignment="1">
      <alignment/>
    </xf>
    <xf numFmtId="164" fontId="8" fillId="0" borderId="0" xfId="0" applyFont="1" applyAlignment="1">
      <alignment/>
    </xf>
    <xf numFmtId="17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168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/>
    </xf>
    <xf numFmtId="164" fontId="8" fillId="0" borderId="0" xfId="0" applyFont="1" applyAlignment="1">
      <alignment horizontal="right"/>
    </xf>
    <xf numFmtId="7" fontId="6" fillId="0" borderId="0" xfId="0" applyNumberFormat="1" applyFont="1" applyAlignment="1" applyProtection="1">
      <alignment/>
      <protection/>
    </xf>
    <xf numFmtId="3" fontId="6" fillId="0" borderId="0" xfId="15" applyNumberFormat="1" applyFont="1" applyAlignment="1">
      <alignment/>
    </xf>
    <xf numFmtId="3" fontId="6" fillId="0" borderId="0" xfId="0" applyNumberFormat="1" applyFont="1" applyAlignment="1">
      <alignment horizontal="right"/>
    </xf>
    <xf numFmtId="166" fontId="6" fillId="0" borderId="0" xfId="21" applyNumberFormat="1" applyFont="1" applyAlignment="1">
      <alignment/>
    </xf>
    <xf numFmtId="7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8" fillId="0" borderId="2" xfId="0" applyFont="1" applyBorder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73" fontId="6" fillId="0" borderId="0" xfId="17" applyNumberFormat="1" applyFont="1" applyAlignment="1">
      <alignment/>
    </xf>
    <xf numFmtId="175" fontId="6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/>
      <protection/>
    </xf>
    <xf numFmtId="7" fontId="10" fillId="0" borderId="0" xfId="0" applyNumberFormat="1" applyFont="1" applyAlignment="1" applyProtection="1">
      <alignment/>
      <protection/>
    </xf>
    <xf numFmtId="7" fontId="11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0" fontId="10" fillId="0" borderId="0" xfId="0" applyNumberFormat="1" applyFont="1" applyAlignment="1" applyProtection="1">
      <alignment/>
      <protection/>
    </xf>
    <xf numFmtId="164" fontId="11" fillId="0" borderId="3" xfId="0" applyFont="1" applyBorder="1" applyAlignment="1" applyProtection="1">
      <alignment horizontal="left"/>
      <protection/>
    </xf>
    <xf numFmtId="164" fontId="11" fillId="0" borderId="3" xfId="0" applyFont="1" applyBorder="1" applyAlignment="1">
      <alignment/>
    </xf>
    <xf numFmtId="7" fontId="11" fillId="0" borderId="3" xfId="0" applyNumberFormat="1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7" fontId="10" fillId="0" borderId="1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10" fontId="6" fillId="0" borderId="0" xfId="21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79" fontId="10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0" fontId="10" fillId="0" borderId="1" xfId="0" applyNumberFormat="1" applyFont="1" applyBorder="1" applyAlignment="1" applyProtection="1">
      <alignment/>
      <protection/>
    </xf>
    <xf numFmtId="180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0" fontId="6" fillId="0" borderId="0" xfId="15" applyNumberFormat="1" applyFont="1" applyAlignment="1" applyProtection="1">
      <alignment horizontal="center"/>
      <protection/>
    </xf>
    <xf numFmtId="1" fontId="6" fillId="0" borderId="0" xfId="21" applyNumberFormat="1" applyFont="1" applyAlignment="1">
      <alignment/>
    </xf>
    <xf numFmtId="1" fontId="6" fillId="0" borderId="1" xfId="21" applyNumberFormat="1" applyFont="1" applyBorder="1" applyAlignment="1">
      <alignment/>
    </xf>
    <xf numFmtId="164" fontId="12" fillId="0" borderId="1" xfId="0" applyFont="1" applyBorder="1" applyAlignment="1">
      <alignment/>
    </xf>
    <xf numFmtId="1" fontId="12" fillId="0" borderId="1" xfId="21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Alignment="1">
      <alignment horizontal="right"/>
    </xf>
    <xf numFmtId="183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83" fontId="4" fillId="0" borderId="0" xfId="0" applyNumberFormat="1" applyFont="1" applyFill="1" applyBorder="1" applyAlignment="1">
      <alignment horizontal="left"/>
    </xf>
    <xf numFmtId="9" fontId="0" fillId="0" borderId="0" xfId="21" applyAlignment="1">
      <alignment/>
    </xf>
    <xf numFmtId="164" fontId="0" fillId="0" borderId="0" xfId="0" applyAlignment="1" quotePrefix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0" fontId="0" fillId="0" borderId="0" xfId="21" applyNumberFormat="1" applyAlignment="1">
      <alignment horizontal="right"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 wrapText="1"/>
    </xf>
    <xf numFmtId="1" fontId="10" fillId="0" borderId="0" xfId="0" applyNumberFormat="1" applyFont="1" applyAlignment="1" applyProtection="1">
      <alignment/>
      <protection/>
    </xf>
    <xf numFmtId="9" fontId="0" fillId="0" borderId="1" xfId="21" applyFill="1" applyBorder="1" applyAlignment="1">
      <alignment/>
    </xf>
    <xf numFmtId="164" fontId="0" fillId="0" borderId="1" xfId="0" applyBorder="1" applyAlignment="1">
      <alignment/>
    </xf>
    <xf numFmtId="17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1" xfId="21" applyNumberFormat="1" applyBorder="1" applyAlignment="1">
      <alignment/>
    </xf>
    <xf numFmtId="179" fontId="0" fillId="0" borderId="1" xfId="0" applyNumberFormat="1" applyBorder="1" applyAlignment="1">
      <alignment/>
    </xf>
    <xf numFmtId="164" fontId="0" fillId="2" borderId="0" xfId="0" applyFill="1" applyAlignment="1">
      <alignment/>
    </xf>
    <xf numFmtId="2" fontId="0" fillId="2" borderId="0" xfId="0" applyNumberFormat="1" applyFill="1" applyAlignment="1">
      <alignment/>
    </xf>
    <xf numFmtId="183" fontId="0" fillId="0" borderId="0" xfId="0" applyNumberFormat="1" applyAlignment="1">
      <alignment horizontal="center"/>
    </xf>
    <xf numFmtId="170" fontId="6" fillId="0" borderId="0" xfId="15" applyNumberFormat="1" applyFont="1" applyAlignment="1">
      <alignment/>
    </xf>
    <xf numFmtId="166" fontId="6" fillId="0" borderId="0" xfId="21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 applyProtection="1">
      <alignment horizontal="right"/>
      <protection/>
    </xf>
    <xf numFmtId="186" fontId="6" fillId="0" borderId="0" xfId="0" applyNumberFormat="1" applyFont="1" applyAlignment="1">
      <alignment horizontal="right"/>
    </xf>
    <xf numFmtId="186" fontId="7" fillId="0" borderId="0" xfId="0" applyNumberFormat="1" applyFont="1" applyFill="1" applyAlignment="1" applyProtection="1">
      <alignment horizontal="right"/>
      <protection/>
    </xf>
    <xf numFmtId="169" fontId="6" fillId="0" borderId="0" xfId="15" applyNumberFormat="1" applyFont="1" applyAlignment="1">
      <alignment/>
    </xf>
    <xf numFmtId="7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3" fontId="6" fillId="0" borderId="0" xfId="21" applyNumberFormat="1" applyFont="1" applyBorder="1" applyAlignment="1">
      <alignment/>
    </xf>
    <xf numFmtId="166" fontId="6" fillId="0" borderId="4" xfId="21" applyNumberFormat="1" applyFont="1" applyBorder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8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6" fillId="0" borderId="0" xfId="17" applyNumberFormat="1" applyFont="1" applyAlignment="1">
      <alignment/>
    </xf>
    <xf numFmtId="164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164" fontId="20" fillId="0" borderId="5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0" fillId="0" borderId="6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7" xfId="0" applyFont="1" applyBorder="1" applyAlignment="1">
      <alignment horizontal="right"/>
    </xf>
    <xf numFmtId="3" fontId="20" fillId="0" borderId="1" xfId="0" applyNumberFormat="1" applyFont="1" applyBorder="1" applyAlignment="1">
      <alignment/>
    </xf>
    <xf numFmtId="3" fontId="20" fillId="0" borderId="1" xfId="15" applyNumberFormat="1" applyFont="1" applyBorder="1" applyAlignment="1">
      <alignment/>
    </xf>
    <xf numFmtId="3" fontId="20" fillId="0" borderId="7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/>
    </xf>
    <xf numFmtId="3" fontId="20" fillId="0" borderId="8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44" fontId="6" fillId="0" borderId="0" xfId="17" applyFont="1" applyAlignment="1">
      <alignment/>
    </xf>
    <xf numFmtId="164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180" fontId="6" fillId="4" borderId="0" xfId="0" applyNumberFormat="1" applyFont="1" applyFill="1" applyAlignment="1">
      <alignment/>
    </xf>
    <xf numFmtId="166" fontId="6" fillId="0" borderId="0" xfId="21" applyNumberFormat="1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  <xf numFmtId="164" fontId="6" fillId="0" borderId="3" xfId="0" applyFont="1" applyBorder="1" applyAlignment="1" applyProtection="1">
      <alignment horizontal="right"/>
      <protection locked="0"/>
    </xf>
    <xf numFmtId="164" fontId="6" fillId="0" borderId="3" xfId="0" applyFont="1" applyBorder="1" applyAlignment="1" applyProtection="1">
      <alignment horizontal="center"/>
      <protection locked="0"/>
    </xf>
    <xf numFmtId="6" fontId="6" fillId="0" borderId="0" xfId="0" applyNumberFormat="1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164" fontId="20" fillId="0" borderId="5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7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 locked="0"/>
    </xf>
    <xf numFmtId="3" fontId="20" fillId="0" borderId="8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44" fontId="6" fillId="0" borderId="0" xfId="17" applyFont="1" applyAlignment="1" applyProtection="1">
      <alignment/>
      <protection locked="0"/>
    </xf>
    <xf numFmtId="44" fontId="6" fillId="0" borderId="0" xfId="17" applyFont="1" applyAlignment="1" applyProtection="1">
      <alignment horizontal="right"/>
      <protection locked="0"/>
    </xf>
    <xf numFmtId="1" fontId="6" fillId="2" borderId="0" xfId="21" applyNumberFormat="1" applyFont="1" applyFill="1" applyAlignment="1" applyProtection="1">
      <alignment/>
      <protection locked="0"/>
    </xf>
    <xf numFmtId="164" fontId="6" fillId="4" borderId="0" xfId="0" applyNumberFormat="1" applyFont="1" applyFill="1" applyAlignment="1" applyProtection="1">
      <alignment/>
      <protection locked="0"/>
    </xf>
    <xf numFmtId="164" fontId="7" fillId="4" borderId="0" xfId="0" applyNumberFormat="1" applyFont="1" applyFill="1" applyAlignment="1" applyProtection="1">
      <alignment horizontal="right"/>
      <protection locked="0"/>
    </xf>
    <xf numFmtId="164" fontId="6" fillId="4" borderId="0" xfId="0" applyFont="1" applyFill="1" applyAlignment="1" applyProtection="1">
      <alignment/>
      <protection locked="0"/>
    </xf>
    <xf numFmtId="2" fontId="6" fillId="4" borderId="0" xfId="0" applyNumberFormat="1" applyFont="1" applyFill="1" applyAlignment="1" applyProtection="1">
      <alignment/>
      <protection locked="0"/>
    </xf>
    <xf numFmtId="1" fontId="6" fillId="4" borderId="0" xfId="0" applyNumberFormat="1" applyFont="1" applyFill="1" applyAlignment="1" applyProtection="1">
      <alignment/>
      <protection locked="0"/>
    </xf>
    <xf numFmtId="10" fontId="6" fillId="4" borderId="0" xfId="21" applyNumberFormat="1" applyFont="1" applyFill="1" applyAlignment="1" applyProtection="1">
      <alignment/>
      <protection locked="0"/>
    </xf>
    <xf numFmtId="164" fontId="6" fillId="4" borderId="0" xfId="0" applyFont="1" applyFill="1" applyBorder="1" applyAlignment="1" applyProtection="1">
      <alignment/>
      <protection locked="0"/>
    </xf>
    <xf numFmtId="166" fontId="6" fillId="4" borderId="0" xfId="21" applyNumberFormat="1" applyFont="1" applyFill="1" applyAlignment="1" applyProtection="1">
      <alignment/>
      <protection locked="0"/>
    </xf>
    <xf numFmtId="166" fontId="6" fillId="4" borderId="1" xfId="0" applyNumberFormat="1" applyFont="1" applyFill="1" applyBorder="1" applyAlignment="1" applyProtection="1">
      <alignment/>
      <protection locked="0"/>
    </xf>
    <xf numFmtId="168" fontId="6" fillId="4" borderId="0" xfId="0" applyNumberFormat="1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4" fontId="6" fillId="2" borderId="0" xfId="0" applyNumberFormat="1" applyFont="1" applyFill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6" fillId="2" borderId="0" xfId="0" applyFont="1" applyFill="1" applyAlignment="1" applyProtection="1">
      <alignment/>
      <protection locked="0"/>
    </xf>
    <xf numFmtId="2" fontId="6" fillId="2" borderId="0" xfId="0" applyNumberFormat="1" applyFont="1" applyFill="1" applyAlignment="1" applyProtection="1">
      <alignment/>
      <protection locked="0"/>
    </xf>
    <xf numFmtId="1" fontId="6" fillId="2" borderId="0" xfId="0" applyNumberFormat="1" applyFont="1" applyFill="1" applyAlignment="1" applyProtection="1">
      <alignment/>
      <protection locked="0"/>
    </xf>
    <xf numFmtId="10" fontId="6" fillId="2" borderId="0" xfId="21" applyNumberFormat="1" applyFont="1" applyFill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6" fontId="6" fillId="2" borderId="0" xfId="21" applyNumberFormat="1" applyFont="1" applyFill="1" applyAlignment="1" applyProtection="1">
      <alignment/>
      <protection locked="0"/>
    </xf>
    <xf numFmtId="166" fontId="6" fillId="2" borderId="1" xfId="0" applyNumberFormat="1" applyFont="1" applyFill="1" applyBorder="1" applyAlignment="1" applyProtection="1">
      <alignment/>
      <protection locked="0"/>
    </xf>
    <xf numFmtId="168" fontId="6" fillId="2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>
      <alignment/>
    </xf>
    <xf numFmtId="180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9" fontId="6" fillId="2" borderId="1" xfId="21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right"/>
      <protection locked="0"/>
    </xf>
    <xf numFmtId="164" fontId="6" fillId="2" borderId="1" xfId="0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left"/>
      <protection locked="0"/>
    </xf>
    <xf numFmtId="166" fontId="6" fillId="2" borderId="1" xfId="21" applyNumberFormat="1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 horizontal="left"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6" fillId="2" borderId="0" xfId="0" applyFont="1" applyFill="1" applyAlignment="1" applyProtection="1">
      <alignment horizontal="center"/>
      <protection locked="0"/>
    </xf>
    <xf numFmtId="166" fontId="6" fillId="2" borderId="1" xfId="2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7" fontId="6" fillId="2" borderId="1" xfId="17" applyNumberFormat="1" applyFont="1" applyFill="1" applyBorder="1" applyAlignment="1" applyProtection="1">
      <alignment/>
      <protection locked="0"/>
    </xf>
    <xf numFmtId="7" fontId="6" fillId="2" borderId="1" xfId="0" applyNumberFormat="1" applyFont="1" applyFill="1" applyBorder="1" applyAlignment="1" applyProtection="1">
      <alignment/>
      <protection locked="0"/>
    </xf>
    <xf numFmtId="5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center"/>
      <protection locked="0"/>
    </xf>
    <xf numFmtId="17" fontId="6" fillId="2" borderId="1" xfId="0" applyNumberFormat="1" applyFont="1" applyFill="1" applyBorder="1" applyAlignment="1" applyProtection="1">
      <alignment/>
      <protection locked="0"/>
    </xf>
    <xf numFmtId="5" fontId="6" fillId="2" borderId="15" xfId="0" applyNumberFormat="1" applyFont="1" applyFill="1" applyBorder="1" applyAlignment="1" applyProtection="1">
      <alignment/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5" xfId="0" applyFont="1" applyFill="1" applyBorder="1" applyAlignment="1" applyProtection="1">
      <alignment horizontal="center"/>
      <protection locked="0"/>
    </xf>
    <xf numFmtId="5" fontId="6" fillId="2" borderId="1" xfId="0" applyNumberFormat="1" applyFont="1" applyFill="1" applyBorder="1" applyAlignment="1" applyProtection="1">
      <alignment/>
      <protection locked="0"/>
    </xf>
    <xf numFmtId="1" fontId="6" fillId="2" borderId="1" xfId="15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3" xfId="0" applyNumberFormat="1" applyFont="1" applyFill="1" applyBorder="1" applyAlignment="1" applyProtection="1">
      <alignment horizontal="left"/>
      <protection locked="0"/>
    </xf>
    <xf numFmtId="5" fontId="6" fillId="2" borderId="3" xfId="0" applyNumberFormat="1" applyFont="1" applyFill="1" applyBorder="1" applyAlignment="1" applyProtection="1">
      <alignment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left"/>
      <protection locked="0"/>
    </xf>
    <xf numFmtId="5" fontId="6" fillId="2" borderId="16" xfId="0" applyNumberFormat="1" applyFont="1" applyFill="1" applyBorder="1" applyAlignment="1" applyProtection="1">
      <alignment/>
      <protection locked="0"/>
    </xf>
    <xf numFmtId="170" fontId="6" fillId="2" borderId="15" xfId="15" applyNumberFormat="1" applyFont="1" applyFill="1" applyBorder="1" applyAlignment="1" applyProtection="1">
      <alignment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9" fontId="6" fillId="2" borderId="1" xfId="2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75" fontId="6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79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 applyProtection="1">
      <alignment horizontal="center"/>
      <protection locked="0"/>
    </xf>
    <xf numFmtId="9" fontId="7" fillId="2" borderId="0" xfId="21" applyFont="1" applyFill="1" applyAlignment="1" applyProtection="1">
      <alignment horizontal="center"/>
      <protection locked="0"/>
    </xf>
    <xf numFmtId="9" fontId="6" fillId="2" borderId="0" xfId="2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7" fontId="6" fillId="2" borderId="0" xfId="0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 horizontal="right"/>
      <protection locked="0"/>
    </xf>
    <xf numFmtId="179" fontId="6" fillId="2" borderId="1" xfId="0" applyNumberFormat="1" applyFont="1" applyFill="1" applyBorder="1" applyAlignment="1" applyProtection="1">
      <alignment/>
      <protection locked="0"/>
    </xf>
    <xf numFmtId="9" fontId="6" fillId="2" borderId="0" xfId="0" applyNumberFormat="1" applyFont="1" applyFill="1" applyAlignment="1" applyProtection="1">
      <alignment horizontal="center"/>
      <protection locked="0"/>
    </xf>
    <xf numFmtId="164" fontId="6" fillId="0" borderId="17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9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5" xfId="0" applyFont="1" applyBorder="1" applyAlignment="1" applyProtection="1">
      <alignment/>
      <protection locked="0"/>
    </xf>
    <xf numFmtId="164" fontId="20" fillId="0" borderId="7" xfId="0" applyFont="1" applyBorder="1" applyAlignment="1" applyProtection="1">
      <alignment/>
      <protection locked="0"/>
    </xf>
    <xf numFmtId="164" fontId="20" fillId="0" borderId="20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0" borderId="11" xfId="0" applyFont="1" applyBorder="1" applyAlignment="1">
      <alignment/>
    </xf>
    <xf numFmtId="164" fontId="21" fillId="0" borderId="0" xfId="0" applyFont="1" applyBorder="1" applyAlignment="1">
      <alignment/>
    </xf>
    <xf numFmtId="164" fontId="6" fillId="2" borderId="0" xfId="0" applyFont="1" applyFill="1" applyAlignment="1">
      <alignment wrapText="1"/>
    </xf>
    <xf numFmtId="164" fontId="6" fillId="4" borderId="0" xfId="0" applyFont="1" applyFill="1" applyAlignment="1" applyProtection="1">
      <alignment wrapText="1"/>
      <protection locked="0"/>
    </xf>
    <xf numFmtId="164" fontId="0" fillId="0" borderId="0" xfId="0" applyFill="1" applyAlignment="1">
      <alignment/>
    </xf>
    <xf numFmtId="2" fontId="0" fillId="0" borderId="0" xfId="0" applyNumberFormat="1" applyAlignment="1">
      <alignment horizontal="center" wrapText="1"/>
    </xf>
    <xf numFmtId="2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Annual Pre-Tax Net Cash Flow, Years 2-15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"/>
          <c:w val="0.981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'Annual Cash Flow'!$B$4:$P$4</c:f>
              <c:num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'Annual Cash Flow'!$B$56:$P$56</c:f>
              <c:numCache>
                <c:ptCount val="15"/>
                <c:pt idx="0">
                  <c:v>-241922.24196079164</c:v>
                </c:pt>
                <c:pt idx="1">
                  <c:v>434044.2536063781</c:v>
                </c:pt>
                <c:pt idx="2">
                  <c:v>369329.6750114141</c:v>
                </c:pt>
                <c:pt idx="3">
                  <c:v>439706.94527961314</c:v>
                </c:pt>
                <c:pt idx="4">
                  <c:v>432448.3241852056</c:v>
                </c:pt>
                <c:pt idx="5">
                  <c:v>425044.53066890966</c:v>
                </c:pt>
                <c:pt idx="6">
                  <c:v>417492.6612822879</c:v>
                </c:pt>
                <c:pt idx="7">
                  <c:v>409789.75450793374</c:v>
                </c:pt>
                <c:pt idx="8">
                  <c:v>401932.78959809244</c:v>
                </c:pt>
                <c:pt idx="9">
                  <c:v>393918.68539005425</c:v>
                </c:pt>
                <c:pt idx="10">
                  <c:v>385744.2990978551</c:v>
                </c:pt>
                <c:pt idx="11">
                  <c:v>377406.4250798123</c:v>
                </c:pt>
                <c:pt idx="12">
                  <c:v>368901.79358140845</c:v>
                </c:pt>
                <c:pt idx="13">
                  <c:v>360227.0694530369</c:v>
                </c:pt>
                <c:pt idx="14">
                  <c:v>351378.8508420973</c:v>
                </c:pt>
              </c:numCache>
            </c:numRef>
          </c:val>
        </c:ser>
        <c:axId val="51653221"/>
        <c:axId val="47979862"/>
      </c:barChart>
      <c:catAx>
        <c:axId val="51653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7979862"/>
        <c:crosses val="autoZero"/>
        <c:auto val="0"/>
        <c:lblOffset val="100"/>
        <c:tickLblSkip val="2"/>
        <c:noMultiLvlLbl val="0"/>
      </c:catAx>
      <c:valAx>
        <c:axId val="47979862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5165322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Working Capital/Line of Credit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25"/>
          <c:w val="0.99075"/>
          <c:h val="0.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483020.8333333333</c:v>
                </c:pt>
                <c:pt idx="5">
                  <c:v>467359.28819444444</c:v>
                </c:pt>
                <c:pt idx="6">
                  <c:v>432297.22231488023</c:v>
                </c:pt>
                <c:pt idx="7">
                  <c:v>379364.98027810804</c:v>
                </c:pt>
                <c:pt idx="8">
                  <c:v>324620.44231711177</c:v>
                </c:pt>
                <c:pt idx="9">
                  <c:v>281796.22494757664</c:v>
                </c:pt>
                <c:pt idx="10">
                  <c:v>268336.7259927384</c:v>
                </c:pt>
                <c:pt idx="11">
                  <c:v>258077.75803920854</c:v>
                </c:pt>
                <c:pt idx="12">
                  <c:v>345732.9540131586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65429.516348088306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2202999"/>
        <c:axId val="40838088"/>
      </c:lineChart>
      <c:catAx>
        <c:axId val="22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088"/>
        <c:crosses val="autoZero"/>
        <c:auto val="0"/>
        <c:lblOffset val="100"/>
        <c:tickLblSkip val="6"/>
        <c:noMultiLvlLbl val="0"/>
      </c:catAx>
      <c:valAx>
        <c:axId val="40838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220299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Cash Flow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"/>
          <c:w val="0.99075"/>
          <c:h val="0.87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-16979.166666666668</c:v>
                </c:pt>
                <c:pt idx="5">
                  <c:v>-15661.545138888889</c:v>
                </c:pt>
                <c:pt idx="6">
                  <c:v>-35062.0658795642</c:v>
                </c:pt>
                <c:pt idx="7">
                  <c:v>-52932.2420367722</c:v>
                </c:pt>
                <c:pt idx="8">
                  <c:v>-54744.537960996255</c:v>
                </c:pt>
                <c:pt idx="9">
                  <c:v>-42824.21736953515</c:v>
                </c:pt>
                <c:pt idx="10">
                  <c:v>-13459.49895483823</c:v>
                </c:pt>
                <c:pt idx="11">
                  <c:v>-10258.96795352985</c:v>
                </c:pt>
                <c:pt idx="12">
                  <c:v>87655.19597395009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31701.610024447786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54909257"/>
        <c:axId val="6199034"/>
      </c:lineChart>
      <c:catAx>
        <c:axId val="5490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9034"/>
        <c:crosses val="autoZero"/>
        <c:auto val="0"/>
        <c:lblOffset val="100"/>
        <c:tickLblSkip val="6"/>
        <c:noMultiLvlLbl val="0"/>
      </c:catAx>
      <c:valAx>
        <c:axId val="6199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5490925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Inventory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375"/>
          <c:w val="0.986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</c:v>
                </c:pt>
                <c:pt idx="7">
                  <c:v>1200</c:v>
                </c:pt>
                <c:pt idx="8">
                  <c:v>2200</c:v>
                </c:pt>
                <c:pt idx="9">
                  <c:v>3400</c:v>
                </c:pt>
                <c:pt idx="10">
                  <c:v>4200</c:v>
                </c:pt>
                <c:pt idx="11">
                  <c:v>5000</c:v>
                </c:pt>
                <c:pt idx="12">
                  <c:v>5400</c:v>
                </c:pt>
                <c:pt idx="13">
                  <c:v>5400</c:v>
                </c:pt>
                <c:pt idx="14">
                  <c:v>5200</c:v>
                </c:pt>
                <c:pt idx="15">
                  <c:v>4800</c:v>
                </c:pt>
                <c:pt idx="16">
                  <c:v>4800</c:v>
                </c:pt>
                <c:pt idx="17">
                  <c:v>4800</c:v>
                </c:pt>
                <c:pt idx="18">
                  <c:v>4800</c:v>
                </c:pt>
                <c:pt idx="19">
                  <c:v>4800</c:v>
                </c:pt>
                <c:pt idx="20">
                  <c:v>5000</c:v>
                </c:pt>
                <c:pt idx="21">
                  <c:v>5400</c:v>
                </c:pt>
                <c:pt idx="22">
                  <c:v>5400</c:v>
                </c:pt>
                <c:pt idx="23">
                  <c:v>5400</c:v>
                </c:pt>
                <c:pt idx="24">
                  <c:v>5400</c:v>
                </c:pt>
                <c:pt idx="25">
                  <c:v>5400</c:v>
                </c:pt>
                <c:pt idx="26">
                  <c:v>5200</c:v>
                </c:pt>
                <c:pt idx="27">
                  <c:v>4800</c:v>
                </c:pt>
                <c:pt idx="28">
                  <c:v>4800</c:v>
                </c:pt>
                <c:pt idx="29">
                  <c:v>4800</c:v>
                </c:pt>
                <c:pt idx="30">
                  <c:v>4800</c:v>
                </c:pt>
                <c:pt idx="31">
                  <c:v>4800</c:v>
                </c:pt>
                <c:pt idx="32">
                  <c:v>5000</c:v>
                </c:pt>
                <c:pt idx="33">
                  <c:v>5400</c:v>
                </c:pt>
                <c:pt idx="34">
                  <c:v>5400</c:v>
                </c:pt>
                <c:pt idx="35">
                  <c:v>5400</c:v>
                </c:pt>
              </c:numCache>
            </c:numRef>
          </c:val>
        </c:ser>
        <c:axId val="35317211"/>
        <c:axId val="52821740"/>
      </c:barChart>
      <c:catAx>
        <c:axId val="3531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1740"/>
        <c:crosses val="autoZero"/>
        <c:auto val="0"/>
        <c:lblOffset val="100"/>
        <c:tickLblSkip val="6"/>
        <c:noMultiLvlLbl val="0"/>
      </c:catAx>
      <c:valAx>
        <c:axId val="52821740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531721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dlaw\Desktop\Feedyard%20Cash%20Flow%20v2.Cattle%20Loans1.1%20J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Inputs"/>
      <sheetName val="Prices and Spreads"/>
      <sheetName val="Assumptions and Rations"/>
      <sheetName val="Income Statement"/>
      <sheetName val="Annual Net Cash Flow Chart"/>
      <sheetName val=" Work Cap LOC Chart"/>
      <sheetName val="Monthly Net Cash Flow Chart"/>
      <sheetName val="Monthly Cash Flow"/>
      <sheetName val="Annual Cash Flow"/>
      <sheetName val="Cattle Returns"/>
      <sheetName val="Depreciation Schedule"/>
      <sheetName val="Feeding Budgets"/>
      <sheetName val="Monthly Inventory Chart"/>
      <sheetName val="Inventories"/>
      <sheetName val="Diets and Performance"/>
      <sheetName val="Workspace"/>
      <sheetName val="Historic Prices"/>
    </sheetNames>
    <sheetDataSet>
      <sheetData sheetId="1">
        <row r="3">
          <cell r="A3" t="str">
            <v>Example Feedyard without Cattle</v>
          </cell>
        </row>
      </sheetData>
      <sheetData sheetId="9">
        <row r="4">
          <cell r="D4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3" sqref="A13"/>
    </sheetView>
  </sheetViews>
  <sheetFormatPr defaultColWidth="8.796875" defaultRowHeight="15"/>
  <cols>
    <col min="1" max="16384" width="8.8984375" style="2" customWidth="1"/>
  </cols>
  <sheetData>
    <row r="1" ht="15.75">
      <c r="A1" s="2" t="s">
        <v>0</v>
      </c>
    </row>
    <row r="3" ht="15.75">
      <c r="A3" s="2" t="s">
        <v>471</v>
      </c>
    </row>
    <row r="4" ht="15.75">
      <c r="A4" s="2" t="s">
        <v>472</v>
      </c>
    </row>
    <row r="6" ht="15.75">
      <c r="A6" s="2" t="s">
        <v>473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 t="s">
        <v>4</v>
      </c>
    </row>
    <row r="12" ht="15.75">
      <c r="A12" s="2" t="s">
        <v>5</v>
      </c>
    </row>
    <row r="13" ht="15.75">
      <c r="A13" s="2" t="s">
        <v>6</v>
      </c>
    </row>
    <row r="14" ht="15.75">
      <c r="A14" s="2" t="s">
        <v>154</v>
      </c>
    </row>
    <row r="15" ht="15.75">
      <c r="A15" s="2" t="s">
        <v>7</v>
      </c>
    </row>
    <row r="16" ht="15.75">
      <c r="A16" s="2" t="s">
        <v>8</v>
      </c>
    </row>
  </sheetData>
  <sheetProtection password="CDAC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D9" sqref="D9"/>
    </sheetView>
  </sheetViews>
  <sheetFormatPr defaultColWidth="8.796875" defaultRowHeight="15"/>
  <cols>
    <col min="1" max="1" width="16.59765625" style="2" customWidth="1"/>
    <col min="2" max="9" width="8.8984375" style="2" customWidth="1"/>
    <col min="10" max="10" width="10.09765625" style="2" customWidth="1"/>
    <col min="11" max="16384" width="8.8984375" style="2" customWidth="1"/>
  </cols>
  <sheetData>
    <row r="1" spans="1:14" ht="15.75">
      <c r="A1" s="1" t="s">
        <v>74</v>
      </c>
      <c r="N1" s="4" t="s">
        <v>75</v>
      </c>
    </row>
    <row r="2" spans="1:14" ht="47.25" customHeight="1">
      <c r="A2" s="4"/>
      <c r="C2" s="274" t="s">
        <v>457</v>
      </c>
      <c r="D2" s="274"/>
      <c r="F2" s="275" t="s">
        <v>458</v>
      </c>
      <c r="G2" s="275"/>
      <c r="H2" s="275"/>
      <c r="I2" s="275"/>
      <c r="N2" s="4"/>
    </row>
    <row r="3" spans="3:14" ht="15.75">
      <c r="C3" s="204">
        <v>1</v>
      </c>
      <c r="D3" s="204">
        <v>3</v>
      </c>
      <c r="E3" s="24"/>
      <c r="F3" s="192">
        <v>2</v>
      </c>
      <c r="G3" s="192">
        <v>4</v>
      </c>
      <c r="H3" s="192">
        <v>5</v>
      </c>
      <c r="I3" s="192">
        <v>6</v>
      </c>
      <c r="J3" s="25" t="s">
        <v>71</v>
      </c>
      <c r="K3" s="24"/>
      <c r="N3" s="4" t="s">
        <v>76</v>
      </c>
    </row>
    <row r="4" spans="1:25" ht="15.75">
      <c r="A4" s="4" t="s">
        <v>77</v>
      </c>
      <c r="C4" s="205" t="s">
        <v>78</v>
      </c>
      <c r="D4" s="205" t="s">
        <v>78</v>
      </c>
      <c r="E4" s="5"/>
      <c r="F4" s="193" t="s">
        <v>78</v>
      </c>
      <c r="G4" s="193" t="s">
        <v>79</v>
      </c>
      <c r="H4" s="193" t="s">
        <v>79</v>
      </c>
      <c r="I4" s="193" t="s">
        <v>79</v>
      </c>
      <c r="J4" s="5" t="s">
        <v>80</v>
      </c>
      <c r="K4" s="5"/>
      <c r="O4" s="4" t="s">
        <v>81</v>
      </c>
      <c r="P4" s="4" t="s">
        <v>82</v>
      </c>
      <c r="Q4" s="4" t="s">
        <v>83</v>
      </c>
      <c r="S4"/>
      <c r="T4" s="83"/>
      <c r="U4" s="83"/>
      <c r="V4"/>
      <c r="W4"/>
      <c r="X4"/>
      <c r="Y4"/>
    </row>
    <row r="5" spans="1:25" ht="15.75">
      <c r="A5" s="4" t="s">
        <v>84</v>
      </c>
      <c r="C5" s="206">
        <f>'Prices and Spreads'!J4</f>
        <v>550</v>
      </c>
      <c r="D5" s="206">
        <f>'Prices and Spreads'!K4</f>
        <v>750</v>
      </c>
      <c r="F5" s="194">
        <v>650</v>
      </c>
      <c r="G5" s="194">
        <v>550</v>
      </c>
      <c r="H5" s="194">
        <v>650</v>
      </c>
      <c r="I5" s="194">
        <v>750</v>
      </c>
      <c r="J5" s="5"/>
      <c r="K5" s="5"/>
      <c r="N5" s="4" t="s">
        <v>85</v>
      </c>
      <c r="O5" s="24">
        <v>17</v>
      </c>
      <c r="P5" s="24">
        <v>22</v>
      </c>
      <c r="Q5" s="24">
        <v>31</v>
      </c>
      <c r="S5"/>
      <c r="T5" s="83"/>
      <c r="U5" s="83"/>
      <c r="V5" s="84"/>
      <c r="W5" s="84"/>
      <c r="X5" s="94"/>
      <c r="Y5" s="94"/>
    </row>
    <row r="6" spans="1:25" ht="15.75">
      <c r="A6" s="4" t="s">
        <v>86</v>
      </c>
      <c r="C6" s="206">
        <f>'Prices and Spreads'!J5</f>
        <v>1250</v>
      </c>
      <c r="D6" s="206">
        <f>'Prices and Spreads'!K5</f>
        <v>1350</v>
      </c>
      <c r="F6" s="194">
        <v>1300</v>
      </c>
      <c r="G6" s="194">
        <v>1150</v>
      </c>
      <c r="H6" s="194">
        <v>1200</v>
      </c>
      <c r="I6" s="194">
        <v>1250</v>
      </c>
      <c r="J6" s="24"/>
      <c r="K6" s="24"/>
      <c r="N6" s="4" t="s">
        <v>87</v>
      </c>
      <c r="O6" s="24">
        <v>13</v>
      </c>
      <c r="P6" s="24">
        <v>19</v>
      </c>
      <c r="Q6" s="24">
        <v>27</v>
      </c>
      <c r="S6"/>
      <c r="T6" s="83"/>
      <c r="U6" s="83"/>
      <c r="V6" s="84"/>
      <c r="W6" s="84"/>
      <c r="X6" s="84"/>
      <c r="Y6" s="84"/>
    </row>
    <row r="7" spans="1:25" ht="15.75">
      <c r="A7" s="4" t="s">
        <v>88</v>
      </c>
      <c r="C7" s="207">
        <f>'Prices and Spreads'!J8</f>
        <v>3.25</v>
      </c>
      <c r="D7" s="207">
        <f>'Prices and Spreads'!K8</f>
        <v>3.6</v>
      </c>
      <c r="E7" s="32"/>
      <c r="F7" s="195">
        <f>(C7+D7)/2</f>
        <v>3.425</v>
      </c>
      <c r="G7" s="195">
        <f>0.9*C7</f>
        <v>2.9250000000000003</v>
      </c>
      <c r="H7" s="195">
        <f>0.9*F7</f>
        <v>3.0825</v>
      </c>
      <c r="I7" s="195">
        <f>0.9*D7</f>
        <v>3.24</v>
      </c>
      <c r="J7" s="26"/>
      <c r="K7" s="26"/>
      <c r="N7" s="4" t="s">
        <v>89</v>
      </c>
      <c r="O7" s="24">
        <v>5</v>
      </c>
      <c r="P7" s="24">
        <v>13</v>
      </c>
      <c r="Q7" s="24">
        <v>23</v>
      </c>
      <c r="S7"/>
      <c r="T7" s="83"/>
      <c r="U7" s="83"/>
      <c r="V7" s="84"/>
      <c r="W7" s="84"/>
      <c r="X7" s="84"/>
      <c r="Y7" s="84"/>
    </row>
    <row r="8" spans="1:25" ht="15.75">
      <c r="A8" s="4" t="s">
        <v>153</v>
      </c>
      <c r="C8" s="207">
        <f>'Prices and Spreads'!J9</f>
        <v>5.9</v>
      </c>
      <c r="D8" s="207">
        <f>'Prices and Spreads'!K9</f>
        <v>6.2</v>
      </c>
      <c r="E8" s="32"/>
      <c r="F8" s="195">
        <f>(C8+D8)/2</f>
        <v>6.050000000000001</v>
      </c>
      <c r="G8" s="195">
        <f>1.1*C8</f>
        <v>6.490000000000001</v>
      </c>
      <c r="H8" s="195">
        <f>1.1*F8</f>
        <v>6.655000000000001</v>
      </c>
      <c r="I8" s="195">
        <f>1.1*D8</f>
        <v>6.820000000000001</v>
      </c>
      <c r="J8" s="26"/>
      <c r="K8" s="26"/>
      <c r="N8" s="4" t="s">
        <v>90</v>
      </c>
      <c r="O8" s="24">
        <v>10</v>
      </c>
      <c r="P8" s="24">
        <v>17</v>
      </c>
      <c r="Q8" s="24">
        <v>26</v>
      </c>
      <c r="S8"/>
      <c r="T8" s="83"/>
      <c r="U8" s="83"/>
      <c r="V8" s="84"/>
      <c r="W8" s="84"/>
      <c r="X8" s="84"/>
      <c r="Y8" s="84"/>
    </row>
    <row r="9" spans="1:25" ht="15.75">
      <c r="A9" s="4" t="s">
        <v>91</v>
      </c>
      <c r="C9" s="208">
        <f>'Prices and Spreads'!J7</f>
        <v>215.3846153846154</v>
      </c>
      <c r="D9" s="208">
        <f>'Prices and Spreads'!K7</f>
        <v>166.66666666666666</v>
      </c>
      <c r="E9" s="22"/>
      <c r="F9" s="196">
        <f>(F6-F5)/F7</f>
        <v>189.78102189781023</v>
      </c>
      <c r="G9" s="196">
        <f>(G6-G5)/G7</f>
        <v>205.1282051282051</v>
      </c>
      <c r="H9" s="196">
        <f>(H6-H5)/H7</f>
        <v>178.426601784266</v>
      </c>
      <c r="I9" s="196">
        <f>(I6-I5)/I7</f>
        <v>154.320987654321</v>
      </c>
      <c r="J9" s="27"/>
      <c r="K9" s="27"/>
      <c r="N9" s="4" t="s">
        <v>92</v>
      </c>
      <c r="O9" s="24">
        <v>9</v>
      </c>
      <c r="P9" s="24">
        <v>14</v>
      </c>
      <c r="Q9" s="24">
        <v>23</v>
      </c>
      <c r="S9"/>
      <c r="T9" s="83"/>
      <c r="U9" s="83"/>
      <c r="V9" s="84"/>
      <c r="W9" s="84"/>
      <c r="X9" s="84"/>
      <c r="Y9" s="84"/>
    </row>
    <row r="10" spans="1:25" ht="15.75">
      <c r="A10" s="4" t="s">
        <v>93</v>
      </c>
      <c r="C10" s="209">
        <f>'Prices and Spreads'!J13</f>
        <v>0.015</v>
      </c>
      <c r="D10" s="209">
        <f>'Prices and Spreads'!K13</f>
        <v>0.0075</v>
      </c>
      <c r="E10" s="68"/>
      <c r="F10" s="197">
        <v>0.01</v>
      </c>
      <c r="G10" s="197">
        <v>0.015</v>
      </c>
      <c r="H10" s="197">
        <v>0.01</v>
      </c>
      <c r="I10" s="197">
        <v>0.005</v>
      </c>
      <c r="J10" s="29"/>
      <c r="K10" s="29"/>
      <c r="N10" s="4" t="s">
        <v>94</v>
      </c>
      <c r="O10" s="24">
        <v>11</v>
      </c>
      <c r="P10" s="24">
        <v>16</v>
      </c>
      <c r="Q10" s="24">
        <v>26</v>
      </c>
      <c r="S10"/>
      <c r="T10" s="83"/>
      <c r="U10" s="83"/>
      <c r="V10" s="84"/>
      <c r="W10" s="84"/>
      <c r="X10" s="84"/>
      <c r="Y10" s="84"/>
    </row>
    <row r="11" spans="1:25" ht="15.75">
      <c r="A11" s="4" t="s">
        <v>95</v>
      </c>
      <c r="C11" s="210"/>
      <c r="D11" s="210"/>
      <c r="E11" s="30"/>
      <c r="F11" s="198"/>
      <c r="G11" s="198"/>
      <c r="H11" s="198"/>
      <c r="I11" s="194"/>
      <c r="N11" s="4" t="s">
        <v>96</v>
      </c>
      <c r="O11" s="24">
        <v>10</v>
      </c>
      <c r="P11" s="24">
        <v>17</v>
      </c>
      <c r="Q11" s="24">
        <v>26</v>
      </c>
      <c r="S11"/>
      <c r="T11" s="83"/>
      <c r="U11" s="83"/>
      <c r="V11" s="84"/>
      <c r="W11" s="84"/>
      <c r="X11" s="84"/>
      <c r="Y11" s="84"/>
    </row>
    <row r="12" spans="1:25" ht="15.75">
      <c r="A12" s="4" t="s">
        <v>68</v>
      </c>
      <c r="C12" s="211">
        <f>'Assumptions and Rations'!$B28/100</f>
        <v>0.462565</v>
      </c>
      <c r="D12" s="211">
        <f>'Assumptions and Rations'!$B28/100</f>
        <v>0.462565</v>
      </c>
      <c r="E12" s="39"/>
      <c r="F12" s="199">
        <f>'Assumptions and Rations'!$B28/100</f>
        <v>0.462565</v>
      </c>
      <c r="G12" s="199">
        <f>'Assumptions and Rations'!$B28/100</f>
        <v>0.462565</v>
      </c>
      <c r="H12" s="199">
        <f>'Assumptions and Rations'!$B28/100</f>
        <v>0.462565</v>
      </c>
      <c r="I12" s="199">
        <f>'Assumptions and Rations'!$B28/100</f>
        <v>0.462565</v>
      </c>
      <c r="J12" s="29">
        <f>0.5*C12+0.5*D12</f>
        <v>0.462565</v>
      </c>
      <c r="K12" s="29"/>
      <c r="N12" s="4" t="s">
        <v>97</v>
      </c>
      <c r="O12" s="24">
        <v>17</v>
      </c>
      <c r="P12" s="24">
        <v>25</v>
      </c>
      <c r="Q12" s="24">
        <v>33</v>
      </c>
      <c r="S12"/>
      <c r="T12" s="83"/>
      <c r="U12" s="83"/>
      <c r="V12" s="84"/>
      <c r="W12" s="84"/>
      <c r="X12" s="84"/>
      <c r="Y12" s="84"/>
    </row>
    <row r="13" spans="1:25" ht="15.75">
      <c r="A13" s="4" t="s">
        <v>304</v>
      </c>
      <c r="C13" s="211">
        <f>'Assumptions and Rations'!$B31/100</f>
        <v>0.4</v>
      </c>
      <c r="D13" s="211">
        <f>'Assumptions and Rations'!$B31/100</f>
        <v>0.4</v>
      </c>
      <c r="E13" s="39"/>
      <c r="F13" s="199">
        <f>'Assumptions and Rations'!$B31/100</f>
        <v>0.4</v>
      </c>
      <c r="G13" s="199">
        <f>'Assumptions and Rations'!$B31/100</f>
        <v>0.4</v>
      </c>
      <c r="H13" s="199">
        <f>'Assumptions and Rations'!$B31/100</f>
        <v>0.4</v>
      </c>
      <c r="I13" s="199">
        <f>'Assumptions and Rations'!$B31/100</f>
        <v>0.4</v>
      </c>
      <c r="J13" s="29">
        <f>0.5*C13+0.5*D13</f>
        <v>0.4</v>
      </c>
      <c r="K13" s="29"/>
      <c r="N13" s="4" t="s">
        <v>98</v>
      </c>
      <c r="O13" s="24">
        <v>11</v>
      </c>
      <c r="P13" s="24">
        <v>18</v>
      </c>
      <c r="Q13" s="24">
        <v>26</v>
      </c>
      <c r="S13"/>
      <c r="T13" s="83"/>
      <c r="U13" s="83"/>
      <c r="V13" s="84"/>
      <c r="W13" s="84"/>
      <c r="X13" s="84"/>
      <c r="Y13" s="84"/>
    </row>
    <row r="14" spans="1:25" ht="15.75">
      <c r="A14" s="4" t="s">
        <v>99</v>
      </c>
      <c r="C14" s="211">
        <f>'Assumptions and Rations'!$B29/100</f>
        <v>0.04</v>
      </c>
      <c r="D14" s="211">
        <f>'Assumptions and Rations'!$B29/100</f>
        <v>0.04</v>
      </c>
      <c r="E14" s="39"/>
      <c r="F14" s="199">
        <f>'Assumptions and Rations'!$B29/100</f>
        <v>0.04</v>
      </c>
      <c r="G14" s="199">
        <f>'Assumptions and Rations'!$B29/100</f>
        <v>0.04</v>
      </c>
      <c r="H14" s="199">
        <f>'Assumptions and Rations'!$B29/100</f>
        <v>0.04</v>
      </c>
      <c r="I14" s="199">
        <f>'Assumptions and Rations'!$B29/100</f>
        <v>0.04</v>
      </c>
      <c r="J14" s="29">
        <f>0.5*C14+0.5*D14</f>
        <v>0.04</v>
      </c>
      <c r="K14" s="29"/>
      <c r="N14" s="4" t="s">
        <v>100</v>
      </c>
      <c r="O14" s="24">
        <v>10</v>
      </c>
      <c r="P14" s="24">
        <v>14</v>
      </c>
      <c r="Q14" s="24">
        <v>22</v>
      </c>
      <c r="S14"/>
      <c r="T14" s="83"/>
      <c r="U14" s="83"/>
      <c r="V14" s="84"/>
      <c r="W14" s="84"/>
      <c r="X14"/>
      <c r="Y14"/>
    </row>
    <row r="15" spans="1:17" ht="15.75">
      <c r="A15" s="4" t="s">
        <v>305</v>
      </c>
      <c r="C15" s="211">
        <f>'Assumptions and Rations'!$B30/100</f>
        <v>0.08</v>
      </c>
      <c r="D15" s="211">
        <f>'Assumptions and Rations'!$B30/100</f>
        <v>0.08</v>
      </c>
      <c r="E15" s="39"/>
      <c r="F15" s="199">
        <f>'Assumptions and Rations'!$B30/100</f>
        <v>0.08</v>
      </c>
      <c r="G15" s="199">
        <f>'Assumptions and Rations'!$B30/100</f>
        <v>0.08</v>
      </c>
      <c r="H15" s="199">
        <f>'Assumptions and Rations'!$B30/100</f>
        <v>0.08</v>
      </c>
      <c r="I15" s="199">
        <f>'Assumptions and Rations'!$B30/100</f>
        <v>0.08</v>
      </c>
      <c r="J15" s="29">
        <f>0.5*C15+0.5*D15</f>
        <v>0.08</v>
      </c>
      <c r="K15" s="29"/>
      <c r="N15" s="4"/>
      <c r="O15" s="24"/>
      <c r="P15" s="24"/>
      <c r="Q15" s="24"/>
    </row>
    <row r="16" spans="1:17" ht="15.75">
      <c r="A16" s="4" t="s">
        <v>101</v>
      </c>
      <c r="C16" s="212">
        <v>0</v>
      </c>
      <c r="D16" s="212">
        <v>0</v>
      </c>
      <c r="E16" s="28"/>
      <c r="F16" s="200">
        <v>0</v>
      </c>
      <c r="G16" s="200">
        <v>0</v>
      </c>
      <c r="H16" s="200">
        <v>0</v>
      </c>
      <c r="I16" s="200">
        <v>0</v>
      </c>
      <c r="J16" s="29">
        <f>0.5*C16+0.5*D16</f>
        <v>0</v>
      </c>
      <c r="K16" s="29"/>
      <c r="N16" s="4"/>
      <c r="O16" s="24"/>
      <c r="P16" s="24"/>
      <c r="Q16" s="24"/>
    </row>
    <row r="17" spans="1:16" ht="15.75">
      <c r="A17" s="4" t="s">
        <v>102</v>
      </c>
      <c r="C17" s="210"/>
      <c r="D17" s="210"/>
      <c r="E17" s="30"/>
      <c r="F17" s="198"/>
      <c r="G17" s="198"/>
      <c r="H17" s="198"/>
      <c r="I17" s="198"/>
      <c r="O17" s="4" t="s">
        <v>82</v>
      </c>
      <c r="P17" s="4" t="s">
        <v>103</v>
      </c>
    </row>
    <row r="18" spans="1:16" ht="15.75">
      <c r="A18" s="4" t="s">
        <v>310</v>
      </c>
      <c r="C18" s="212">
        <f>SUM('Assumptions and Rations'!$B32:$B36)/100</f>
        <v>0.017435000000000003</v>
      </c>
      <c r="D18" s="212">
        <f>SUM('Assumptions and Rations'!$B32:$B36)/100</f>
        <v>0.017435000000000003</v>
      </c>
      <c r="E18" s="28"/>
      <c r="F18" s="200">
        <f>SUM('Assumptions and Rations'!$B32:$B36)/100</f>
        <v>0.017435000000000003</v>
      </c>
      <c r="G18" s="200">
        <f>SUM('Assumptions and Rations'!$B32:$B36)/100</f>
        <v>0.017435000000000003</v>
      </c>
      <c r="H18" s="200">
        <f>SUM('Assumptions and Rations'!$B32:$B36)/100</f>
        <v>0.017435000000000003</v>
      </c>
      <c r="I18" s="200">
        <f>SUM('Assumptions and Rations'!$B32:$B36)/100</f>
        <v>0.017435000000000003</v>
      </c>
      <c r="J18" s="29">
        <f>0.5*C18+0.5*D18</f>
        <v>0.017435000000000003</v>
      </c>
      <c r="K18" s="29"/>
      <c r="N18" s="4" t="s">
        <v>85</v>
      </c>
      <c r="O18" s="24">
        <f aca="true" t="shared" si="0" ref="O18:O23">P5-O5</f>
        <v>5</v>
      </c>
      <c r="P18" s="24">
        <f aca="true" t="shared" si="1" ref="P18:P23">Q5-O5</f>
        <v>14</v>
      </c>
    </row>
    <row r="19" spans="1:16" ht="15.75">
      <c r="A19" s="4" t="s">
        <v>104</v>
      </c>
      <c r="C19" s="212">
        <v>0</v>
      </c>
      <c r="D19" s="212">
        <v>0</v>
      </c>
      <c r="E19" s="28"/>
      <c r="F19" s="200">
        <v>0</v>
      </c>
      <c r="G19" s="200">
        <v>0</v>
      </c>
      <c r="H19" s="200">
        <v>0</v>
      </c>
      <c r="I19" s="200">
        <v>0</v>
      </c>
      <c r="J19" s="29">
        <f>0.5*C19+0.5*D19</f>
        <v>0</v>
      </c>
      <c r="K19" s="29"/>
      <c r="N19" s="4" t="s">
        <v>87</v>
      </c>
      <c r="O19" s="24">
        <f t="shared" si="0"/>
        <v>6</v>
      </c>
      <c r="P19" s="24">
        <f t="shared" si="1"/>
        <v>14</v>
      </c>
    </row>
    <row r="20" spans="1:16" ht="15.75">
      <c r="A20" s="4" t="s">
        <v>105</v>
      </c>
      <c r="B20" s="10" t="s">
        <v>152</v>
      </c>
      <c r="C20" s="206"/>
      <c r="D20" s="206"/>
      <c r="F20" s="194"/>
      <c r="G20" s="194"/>
      <c r="H20" s="194"/>
      <c r="I20" s="194"/>
      <c r="N20" s="4" t="s">
        <v>89</v>
      </c>
      <c r="O20" s="24">
        <f t="shared" si="0"/>
        <v>8</v>
      </c>
      <c r="P20" s="24">
        <f t="shared" si="1"/>
        <v>18</v>
      </c>
    </row>
    <row r="21" spans="1:16" ht="15.75">
      <c r="A21" s="4" t="str">
        <f>A12</f>
        <v>  Corn</v>
      </c>
      <c r="B21" s="17">
        <v>0.88</v>
      </c>
      <c r="C21" s="213">
        <f aca="true" t="shared" si="2" ref="C21:I21">((C$6-C$5)*C$8*C12)/$B21/56</f>
        <v>38.76610085227272</v>
      </c>
      <c r="D21" s="213">
        <f>((D$6-D$5)*D$8*D12)/$B21/56</f>
        <v>34.917650162337665</v>
      </c>
      <c r="E21" s="26"/>
      <c r="F21" s="201">
        <f>((F$6-F$5)*F$8*F12)/$B21/56</f>
        <v>36.91227399553572</v>
      </c>
      <c r="G21" s="201">
        <f t="shared" si="2"/>
        <v>36.55089508928572</v>
      </c>
      <c r="H21" s="201">
        <f t="shared" si="2"/>
        <v>34.356808872767864</v>
      </c>
      <c r="I21" s="201">
        <f t="shared" si="2"/>
        <v>32.00784598214286</v>
      </c>
      <c r="J21" s="31">
        <f>0.5*C21+0.5*D21</f>
        <v>36.84187550730519</v>
      </c>
      <c r="K21" s="26"/>
      <c r="N21" s="4" t="s">
        <v>90</v>
      </c>
      <c r="O21" s="24">
        <f t="shared" si="0"/>
        <v>7</v>
      </c>
      <c r="P21" s="24">
        <f t="shared" si="1"/>
        <v>16</v>
      </c>
    </row>
    <row r="22" spans="1:16" ht="15.75">
      <c r="A22" s="4" t="str">
        <f>A13</f>
        <v> WDGS</v>
      </c>
      <c r="B22" s="17">
        <v>0.4</v>
      </c>
      <c r="C22" s="213">
        <f aca="true" t="shared" si="3" ref="C22:I24">((C$6-C$5)*C$8*C13)/$B22/2000</f>
        <v>2.065</v>
      </c>
      <c r="D22" s="213">
        <f>((D$6-D$5)*D$8*D13)/$B22/2000</f>
        <v>1.86</v>
      </c>
      <c r="E22" s="26"/>
      <c r="F22" s="201">
        <f>((F$6-F$5)*F$8*F13)/$B22/2000</f>
        <v>1.9662500000000003</v>
      </c>
      <c r="G22" s="201">
        <f t="shared" si="3"/>
        <v>1.9470000000000005</v>
      </c>
      <c r="H22" s="201">
        <f t="shared" si="3"/>
        <v>1.8301250000000004</v>
      </c>
      <c r="I22" s="201">
        <f t="shared" si="3"/>
        <v>1.7050000000000003</v>
      </c>
      <c r="J22" s="31">
        <f>0.5*C22+0.5*D22</f>
        <v>1.9625</v>
      </c>
      <c r="K22" s="26"/>
      <c r="N22" s="4" t="s">
        <v>92</v>
      </c>
      <c r="O22" s="24">
        <f t="shared" si="0"/>
        <v>5</v>
      </c>
      <c r="P22" s="24">
        <f t="shared" si="1"/>
        <v>14</v>
      </c>
    </row>
    <row r="23" spans="1:16" ht="15.75">
      <c r="A23" s="4" t="str">
        <f>A14</f>
        <v>  Mixed hay</v>
      </c>
      <c r="B23" s="17">
        <v>0.91</v>
      </c>
      <c r="C23" s="213">
        <f t="shared" si="3"/>
        <v>0.09076923076923077</v>
      </c>
      <c r="D23" s="213">
        <f>((D$6-D$5)*D$8*D14)/$B23/2000</f>
        <v>0.08175824175824177</v>
      </c>
      <c r="E23" s="26"/>
      <c r="F23" s="201">
        <f>((F$6-F$5)*F$8*F14)/$B23/2000</f>
        <v>0.08642857142857142</v>
      </c>
      <c r="G23" s="201">
        <f t="shared" si="3"/>
        <v>0.0855824175824176</v>
      </c>
      <c r="H23" s="201">
        <f t="shared" si="3"/>
        <v>0.08044505494505497</v>
      </c>
      <c r="I23" s="201">
        <f t="shared" si="3"/>
        <v>0.07494505494505496</v>
      </c>
      <c r="J23" s="31">
        <f>0.5*C23+0.5*D23</f>
        <v>0.08626373626373626</v>
      </c>
      <c r="K23" s="26"/>
      <c r="N23" s="4" t="s">
        <v>94</v>
      </c>
      <c r="O23" s="24">
        <f t="shared" si="0"/>
        <v>5</v>
      </c>
      <c r="P23" s="24">
        <f t="shared" si="1"/>
        <v>15</v>
      </c>
    </row>
    <row r="24" spans="1:16" ht="15.75">
      <c r="A24" s="4" t="str">
        <f>A15</f>
        <v>  Corn Silage</v>
      </c>
      <c r="B24" s="17">
        <v>0.38</v>
      </c>
      <c r="C24" s="213">
        <f t="shared" si="3"/>
        <v>0.4347368421052632</v>
      </c>
      <c r="D24" s="213">
        <f>((D$6-D$5)*D$8*D15)/$B24/2000</f>
        <v>0.3915789473684211</v>
      </c>
      <c r="E24" s="26"/>
      <c r="F24" s="201">
        <f>((F$6-F$5)*F$8*F15)/$B24/2000</f>
        <v>0.4139473684210527</v>
      </c>
      <c r="G24" s="201">
        <f t="shared" si="3"/>
        <v>0.4098947368421053</v>
      </c>
      <c r="H24" s="201">
        <f t="shared" si="3"/>
        <v>0.38528947368421057</v>
      </c>
      <c r="I24" s="201">
        <f t="shared" si="3"/>
        <v>0.35894736842105274</v>
      </c>
      <c r="J24" s="31">
        <f>0.5*C24+0.5*D24</f>
        <v>0.41315789473684217</v>
      </c>
      <c r="K24" s="26"/>
      <c r="N24" s="4" t="s">
        <v>96</v>
      </c>
      <c r="O24" s="24">
        <f>P11-O11</f>
        <v>7</v>
      </c>
      <c r="P24" s="24">
        <f>Q11-O11</f>
        <v>16</v>
      </c>
    </row>
    <row r="25" spans="1:16" ht="15.75">
      <c r="A25" s="4" t="str">
        <f>A16</f>
        <v>  Other feed</v>
      </c>
      <c r="B25" s="8">
        <v>1</v>
      </c>
      <c r="C25" s="213">
        <f>((C$6-C$5)*C$8*C16)/$B25</f>
        <v>0</v>
      </c>
      <c r="D25" s="213">
        <f>((D$6-D$5)*D$8*D16)/$B25/56</f>
        <v>0</v>
      </c>
      <c r="E25" s="26"/>
      <c r="F25" s="201">
        <f>((F$6-F$5)*F$8*F16)/$B25/56</f>
        <v>0</v>
      </c>
      <c r="G25" s="201">
        <f>((G$6-G$5)*G$8*G16)/$B25/56</f>
        <v>0</v>
      </c>
      <c r="H25" s="201">
        <f>((H$6-H$5)*H$8*H16)/$B25/56</f>
        <v>0</v>
      </c>
      <c r="I25" s="201">
        <f>((I$6-I$5)*I$8*I16)/$B25/56</f>
        <v>0</v>
      </c>
      <c r="J25" s="31">
        <f>0.5*C25+0.5*D25</f>
        <v>0</v>
      </c>
      <c r="K25" s="26"/>
      <c r="N25" s="4" t="s">
        <v>97</v>
      </c>
      <c r="O25" s="24">
        <f>P12-O12</f>
        <v>8</v>
      </c>
      <c r="P25" s="24">
        <f>Q12-O12</f>
        <v>16</v>
      </c>
    </row>
    <row r="26" spans="1:16" ht="15.75">
      <c r="A26" s="4" t="s">
        <v>106</v>
      </c>
      <c r="B26" s="8"/>
      <c r="C26" s="206"/>
      <c r="D26" s="206"/>
      <c r="F26" s="194"/>
      <c r="G26" s="194"/>
      <c r="H26" s="194"/>
      <c r="I26" s="194"/>
      <c r="J26" s="32"/>
      <c r="N26" s="4" t="s">
        <v>98</v>
      </c>
      <c r="O26" s="24">
        <f>P13-O13</f>
        <v>7</v>
      </c>
      <c r="P26" s="24">
        <f>Q13-O13</f>
        <v>15</v>
      </c>
    </row>
    <row r="27" spans="1:16" ht="15.75">
      <c r="A27" s="4" t="s">
        <v>310</v>
      </c>
      <c r="B27" s="8">
        <v>1</v>
      </c>
      <c r="C27" s="213">
        <f aca="true" t="shared" si="4" ref="C27:I28">((C$6-C$5)*C$8*C18)/$B27/100</f>
        <v>0.7200655</v>
      </c>
      <c r="D27" s="213">
        <f>((D$6-D$5)*D$8*D18)/$B27/100</f>
        <v>0.6485820000000001</v>
      </c>
      <c r="E27" s="26"/>
      <c r="F27" s="201">
        <f t="shared" si="4"/>
        <v>0.6856313750000003</v>
      </c>
      <c r="G27" s="201">
        <f t="shared" si="4"/>
        <v>0.6789189000000002</v>
      </c>
      <c r="H27" s="201">
        <f t="shared" si="4"/>
        <v>0.6381645875000002</v>
      </c>
      <c r="I27" s="201">
        <f t="shared" si="4"/>
        <v>0.5945335000000002</v>
      </c>
      <c r="J27" s="31">
        <f>0.5*C27+0.5*D27</f>
        <v>0.6843237500000001</v>
      </c>
      <c r="K27" s="26"/>
      <c r="N27" s="4" t="s">
        <v>100</v>
      </c>
      <c r="O27" s="24">
        <f>P14-O14</f>
        <v>4</v>
      </c>
      <c r="P27" s="24">
        <f>Q14-O14</f>
        <v>12</v>
      </c>
    </row>
    <row r="28" spans="1:11" ht="15.75">
      <c r="A28" s="4" t="s">
        <v>104</v>
      </c>
      <c r="B28" s="8">
        <v>1</v>
      </c>
      <c r="C28" s="207">
        <f t="shared" si="4"/>
        <v>0</v>
      </c>
      <c r="D28" s="207">
        <f>((D$6-D$5)*D$8*D19)/$B28/100</f>
        <v>0</v>
      </c>
      <c r="E28" s="31"/>
      <c r="F28" s="195">
        <f t="shared" si="4"/>
        <v>0</v>
      </c>
      <c r="G28" s="195">
        <f t="shared" si="4"/>
        <v>0</v>
      </c>
      <c r="H28" s="195">
        <f t="shared" si="4"/>
        <v>0</v>
      </c>
      <c r="I28" s="195">
        <f t="shared" si="4"/>
        <v>0</v>
      </c>
      <c r="J28" s="31">
        <f>0.5*C28+0.5*D28</f>
        <v>0</v>
      </c>
      <c r="K28" s="26"/>
    </row>
    <row r="29" spans="1:11" ht="15.75">
      <c r="A29" s="2" t="s">
        <v>107</v>
      </c>
      <c r="C29" s="214">
        <f aca="true" t="shared" si="5" ref="C29:J29">C21*56+(C22+C23+C24+C25)*2000+(C27+C28)*100</f>
        <v>7423.92034347626</v>
      </c>
      <c r="D29" s="214">
        <f>D21*56+(D22+D23+D24+D25)*2000+(D27+D28)*100</f>
        <v>6686.920987344235</v>
      </c>
      <c r="E29" s="21"/>
      <c r="F29" s="160">
        <f t="shared" si="5"/>
        <v>7068.90236094925</v>
      </c>
      <c r="G29" s="160">
        <f t="shared" si="5"/>
        <v>6999.696323849046</v>
      </c>
      <c r="H29" s="160">
        <f t="shared" si="5"/>
        <v>6579.516812883532</v>
      </c>
      <c r="I29" s="160">
        <f t="shared" si="5"/>
        <v>6129.677571732216</v>
      </c>
      <c r="J29" s="21">
        <f t="shared" si="5"/>
        <v>7055.420665410247</v>
      </c>
      <c r="K29" s="21"/>
    </row>
    <row r="30" spans="1:10" ht="15.75">
      <c r="A30" s="2" t="s">
        <v>195</v>
      </c>
      <c r="C30" s="215">
        <f aca="true" t="shared" si="6" ref="C30:I30">C29/C9</f>
        <v>34.46820159471121</v>
      </c>
      <c r="D30" s="215">
        <f>D29/D9</f>
        <v>40.12152592406541</v>
      </c>
      <c r="E30" s="76"/>
      <c r="F30" s="161">
        <f t="shared" si="6"/>
        <v>37.247677825001816</v>
      </c>
      <c r="G30" s="161">
        <f t="shared" si="6"/>
        <v>34.1235195787641</v>
      </c>
      <c r="H30" s="161">
        <f t="shared" si="6"/>
        <v>36.8752010467518</v>
      </c>
      <c r="I30" s="161">
        <f t="shared" si="6"/>
        <v>39.72031066482476</v>
      </c>
      <c r="J30" s="76"/>
    </row>
    <row r="31" spans="1:9" ht="15.75">
      <c r="A31" s="2" t="s">
        <v>196</v>
      </c>
      <c r="C31" s="216">
        <f>C9*Inputs!$G69+Inputs!$G70*'Diets and Performance'!C29/2000</f>
        <v>92.61538461538461</v>
      </c>
      <c r="D31" s="216">
        <f>D9*Inputs!$G69+Inputs!$G70*'Diets and Performance'!D29/2000</f>
        <v>71.66666666666666</v>
      </c>
      <c r="E31" s="32"/>
      <c r="F31" s="159">
        <f>F9*Inputs!$G69+Inputs!$G70*'Diets and Performance'!F29/2000</f>
        <v>81.6058394160584</v>
      </c>
      <c r="G31" s="159">
        <f>G9*Inputs!$G69+Inputs!$G70*'Diets and Performance'!G29/2000</f>
        <v>88.20512820512819</v>
      </c>
      <c r="H31" s="159">
        <f>H9*Inputs!$G69+Inputs!$G70*'Diets and Performance'!H29/2000</f>
        <v>76.72343876723438</v>
      </c>
      <c r="I31" s="159">
        <f>I9*Inputs!$G69+Inputs!$G70*'Diets and Performance'!I29/2000</f>
        <v>66.35802469135803</v>
      </c>
    </row>
    <row r="32" spans="1:9" ht="15.75">
      <c r="A32" s="2" t="s">
        <v>197</v>
      </c>
      <c r="C32" s="216">
        <f aca="true" t="shared" si="7" ref="C32:I32">C31/C9</f>
        <v>0.43</v>
      </c>
      <c r="D32" s="216">
        <f>D31/D9</f>
        <v>0.43</v>
      </c>
      <c r="E32" s="32"/>
      <c r="F32" s="159">
        <f t="shared" si="7"/>
        <v>0.43</v>
      </c>
      <c r="G32" s="159">
        <f t="shared" si="7"/>
        <v>0.42999999999999994</v>
      </c>
      <c r="H32" s="159">
        <f t="shared" si="7"/>
        <v>0.43</v>
      </c>
      <c r="I32" s="159">
        <f t="shared" si="7"/>
        <v>0.43</v>
      </c>
    </row>
    <row r="33" spans="3:4" ht="15.75">
      <c r="C33" s="158"/>
      <c r="D33" s="158"/>
    </row>
  </sheetData>
  <mergeCells count="2">
    <mergeCell ref="C2:D2"/>
    <mergeCell ref="F2:I2"/>
  </mergeCells>
  <printOptions/>
  <pageMargins left="0.75" right="0.75" top="1" bottom="1" header="0.5" footer="0.5"/>
  <pageSetup horizontalDpi="300" verticalDpi="300" orientation="landscape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"/>
  <sheetViews>
    <sheetView workbookViewId="0" topLeftCell="Z1">
      <selection activeCell="U3" sqref="A3:IV3"/>
    </sheetView>
  </sheetViews>
  <sheetFormatPr defaultColWidth="8.796875" defaultRowHeight="15"/>
  <cols>
    <col min="1" max="1" width="15.296875" style="0" customWidth="1"/>
  </cols>
  <sheetData>
    <row r="1" spans="2:39" s="2" customFormat="1" ht="15.75">
      <c r="B1" s="121">
        <f>'Monthly Cash Flow'!B4</f>
        <v>38718</v>
      </c>
      <c r="C1" s="121">
        <f>'Monthly Cash Flow'!C4</f>
        <v>38749</v>
      </c>
      <c r="D1" s="121">
        <f>'Monthly Cash Flow'!D4</f>
        <v>38778</v>
      </c>
      <c r="E1" s="121">
        <f>'Monthly Cash Flow'!E4</f>
        <v>38809</v>
      </c>
      <c r="F1" s="121">
        <f>'Monthly Cash Flow'!F4</f>
        <v>38839</v>
      </c>
      <c r="G1" s="121">
        <f>'Monthly Cash Flow'!G4</f>
        <v>38870</v>
      </c>
      <c r="H1" s="121">
        <f>'Monthly Cash Flow'!H4</f>
        <v>38900</v>
      </c>
      <c r="I1" s="121">
        <f>'Monthly Cash Flow'!I4</f>
        <v>38931</v>
      </c>
      <c r="J1" s="121">
        <f>'Monthly Cash Flow'!J4</f>
        <v>38962</v>
      </c>
      <c r="K1" s="121">
        <f>'Monthly Cash Flow'!K4</f>
        <v>38992</v>
      </c>
      <c r="L1" s="121">
        <f>'Monthly Cash Flow'!L4</f>
        <v>39023</v>
      </c>
      <c r="M1" s="121">
        <f>'Monthly Cash Flow'!M4</f>
        <v>39053</v>
      </c>
      <c r="N1" s="121">
        <f>'Monthly Cash Flow'!B57</f>
        <v>39084</v>
      </c>
      <c r="O1" s="121">
        <f>'Monthly Cash Flow'!C57</f>
        <v>39115</v>
      </c>
      <c r="P1" s="121">
        <f>'Monthly Cash Flow'!D57</f>
        <v>39144</v>
      </c>
      <c r="Q1" s="121">
        <f>'Monthly Cash Flow'!E57</f>
        <v>39175</v>
      </c>
      <c r="R1" s="121">
        <f>'Monthly Cash Flow'!F57</f>
        <v>39205</v>
      </c>
      <c r="S1" s="121">
        <f>'Monthly Cash Flow'!G57</f>
        <v>39236</v>
      </c>
      <c r="T1" s="121">
        <f>'Monthly Cash Flow'!H57</f>
        <v>39266</v>
      </c>
      <c r="U1" s="121">
        <f>'Monthly Cash Flow'!I57</f>
        <v>39297</v>
      </c>
      <c r="V1" s="121">
        <f>'Monthly Cash Flow'!J57</f>
        <v>39328</v>
      </c>
      <c r="W1" s="121">
        <f>'Monthly Cash Flow'!K57</f>
        <v>39358</v>
      </c>
      <c r="X1" s="121">
        <f>'Monthly Cash Flow'!L57</f>
        <v>39389</v>
      </c>
      <c r="Y1" s="121">
        <f>'Monthly Cash Flow'!M57</f>
        <v>39419</v>
      </c>
      <c r="Z1" s="121">
        <f>'Monthly Cash Flow'!B111</f>
        <v>39449</v>
      </c>
      <c r="AA1" s="121">
        <f>'Monthly Cash Flow'!C111</f>
        <v>39480</v>
      </c>
      <c r="AB1" s="121">
        <f>'Monthly Cash Flow'!D111</f>
        <v>39509</v>
      </c>
      <c r="AC1" s="121">
        <f>'Monthly Cash Flow'!E111</f>
        <v>39540</v>
      </c>
      <c r="AD1" s="121">
        <f>'Monthly Cash Flow'!F111</f>
        <v>39570</v>
      </c>
      <c r="AE1" s="121">
        <f>'Monthly Cash Flow'!G111</f>
        <v>39601</v>
      </c>
      <c r="AF1" s="121">
        <f>'Monthly Cash Flow'!H111</f>
        <v>39631</v>
      </c>
      <c r="AG1" s="121">
        <f>'Monthly Cash Flow'!I111</f>
        <v>39662</v>
      </c>
      <c r="AH1" s="121">
        <f>'Monthly Cash Flow'!J111</f>
        <v>39693</v>
      </c>
      <c r="AI1" s="121">
        <f>'Monthly Cash Flow'!K111</f>
        <v>39723</v>
      </c>
      <c r="AJ1" s="121">
        <f>'Monthly Cash Flow'!L111</f>
        <v>39754</v>
      </c>
      <c r="AK1" s="121">
        <f>'Monthly Cash Flow'!M111</f>
        <v>39784</v>
      </c>
      <c r="AL1" s="121"/>
      <c r="AM1" s="121"/>
    </row>
    <row r="2" spans="1:39" s="2" customFormat="1" ht="15.75">
      <c r="A2" s="2" t="s">
        <v>151</v>
      </c>
      <c r="B2" s="22">
        <f>Inventories!B16</f>
        <v>0</v>
      </c>
      <c r="C2" s="22">
        <f>Inventories!C16</f>
        <v>0</v>
      </c>
      <c r="D2" s="22">
        <f>Inventories!D16</f>
        <v>0</v>
      </c>
      <c r="E2" s="22">
        <f>Inventories!E16</f>
        <v>0</v>
      </c>
      <c r="F2" s="22">
        <f>Inventories!F16</f>
        <v>0</v>
      </c>
      <c r="G2" s="22">
        <f>Inventories!G16</f>
        <v>0</v>
      </c>
      <c r="H2" s="22">
        <f>Inventories!H16</f>
        <v>400</v>
      </c>
      <c r="I2" s="22">
        <f>Inventories!I16</f>
        <v>1200</v>
      </c>
      <c r="J2" s="22">
        <f>Inventories!J16</f>
        <v>2200</v>
      </c>
      <c r="K2" s="22">
        <f>Inventories!K16</f>
        <v>3400</v>
      </c>
      <c r="L2" s="22">
        <f>Inventories!L16</f>
        <v>4200</v>
      </c>
      <c r="M2" s="22">
        <f>Inventories!M16</f>
        <v>5000</v>
      </c>
      <c r="N2" s="22">
        <f>Inventories!B45</f>
        <v>5400</v>
      </c>
      <c r="O2" s="22">
        <f>Inventories!C45</f>
        <v>5400</v>
      </c>
      <c r="P2" s="22">
        <f>Inventories!D45</f>
        <v>5200</v>
      </c>
      <c r="Q2" s="22">
        <f>Inventories!E45</f>
        <v>4800</v>
      </c>
      <c r="R2" s="22">
        <f>Inventories!F45</f>
        <v>4800</v>
      </c>
      <c r="S2" s="22">
        <f>Inventories!G45</f>
        <v>4800</v>
      </c>
      <c r="T2" s="22">
        <f>Inventories!H45</f>
        <v>4800</v>
      </c>
      <c r="U2" s="22">
        <f>Inventories!I45</f>
        <v>4800</v>
      </c>
      <c r="V2" s="22">
        <f>Inventories!J45</f>
        <v>5000</v>
      </c>
      <c r="W2" s="22">
        <f>Inventories!K45</f>
        <v>5400</v>
      </c>
      <c r="X2" s="22">
        <f>Inventories!L45</f>
        <v>5400</v>
      </c>
      <c r="Y2" s="22">
        <f>Inventories!M45</f>
        <v>5400</v>
      </c>
      <c r="Z2" s="22">
        <f>Inventories!B73</f>
        <v>5400</v>
      </c>
      <c r="AA2" s="22">
        <f>Inventories!C73</f>
        <v>5400</v>
      </c>
      <c r="AB2" s="22">
        <f>Inventories!D73</f>
        <v>5200</v>
      </c>
      <c r="AC2" s="22">
        <f>Inventories!E73</f>
        <v>4800</v>
      </c>
      <c r="AD2" s="22">
        <f>Inventories!F73</f>
        <v>4800</v>
      </c>
      <c r="AE2" s="22">
        <f>Inventories!G73</f>
        <v>4800</v>
      </c>
      <c r="AF2" s="22">
        <f>Inventories!H73</f>
        <v>4800</v>
      </c>
      <c r="AG2" s="22">
        <f>Inventories!I73</f>
        <v>4800</v>
      </c>
      <c r="AH2" s="22">
        <f>Inventories!J73</f>
        <v>5000</v>
      </c>
      <c r="AI2" s="22">
        <f>Inventories!K73</f>
        <v>5400</v>
      </c>
      <c r="AJ2" s="22">
        <f>Inventories!L73</f>
        <v>5400</v>
      </c>
      <c r="AK2" s="22">
        <f>Inventories!M73</f>
        <v>5400</v>
      </c>
      <c r="AL2" s="121"/>
      <c r="AM2" s="121"/>
    </row>
    <row r="3" spans="2:39" s="2" customFormat="1" ht="15.7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7" s="2" customFormat="1" ht="15.75">
      <c r="A4" s="18" t="s">
        <v>142</v>
      </c>
      <c r="B4" s="21">
        <f>'Monthly Cash Flow'!B51</f>
        <v>0</v>
      </c>
      <c r="C4" s="21">
        <f>'Monthly Cash Flow'!C51</f>
        <v>0</v>
      </c>
      <c r="D4" s="21">
        <f>'Monthly Cash Flow'!D51</f>
        <v>0</v>
      </c>
      <c r="E4" s="21">
        <f>'Monthly Cash Flow'!E51</f>
        <v>0</v>
      </c>
      <c r="F4" s="21">
        <f>'Monthly Cash Flow'!F51</f>
        <v>-16979.166666666668</v>
      </c>
      <c r="G4" s="21">
        <f>'Monthly Cash Flow'!G51</f>
        <v>-15661.545138888889</v>
      </c>
      <c r="H4" s="21">
        <f>'Monthly Cash Flow'!H51</f>
        <v>-35062.0658795642</v>
      </c>
      <c r="I4" s="21">
        <f>'Monthly Cash Flow'!I51</f>
        <v>-52932.2420367722</v>
      </c>
      <c r="J4" s="21">
        <f>'Monthly Cash Flow'!J51</f>
        <v>-54744.537960996255</v>
      </c>
      <c r="K4" s="21">
        <f>'Monthly Cash Flow'!K51</f>
        <v>-42824.21736953515</v>
      </c>
      <c r="L4" s="21">
        <f>'Monthly Cash Flow'!L51</f>
        <v>-13459.49895483823</v>
      </c>
      <c r="M4" s="21">
        <f>'Monthly Cash Flow'!M51</f>
        <v>-10258.96795352985</v>
      </c>
      <c r="N4" s="21">
        <f>'Monthly Cash Flow'!B104</f>
        <v>87655.19597395009</v>
      </c>
      <c r="O4" s="21">
        <f>'Monthly Cash Flow'!C104</f>
        <v>33268.11473616978</v>
      </c>
      <c r="P4" s="21">
        <f>'Monthly Cash Flow'!D104</f>
        <v>24892.422529882693</v>
      </c>
      <c r="Q4" s="21">
        <f>'Monthly Cash Flow'!E104</f>
        <v>42754.31569220041</v>
      </c>
      <c r="R4" s="21">
        <f>'Monthly Cash Flow'!F104</f>
        <v>27641.38693941661</v>
      </c>
      <c r="S4" s="21">
        <f>'Monthly Cash Flow'!G104</f>
        <v>24506.043887660227</v>
      </c>
      <c r="T4" s="21">
        <f>'Monthly Cash Flow'!H104</f>
        <v>27229.605582271295</v>
      </c>
      <c r="U4" s="21">
        <f>'Monthly Cash Flow'!I104</f>
        <v>22235.584312828112</v>
      </c>
      <c r="V4" s="21">
        <f>'Monthly Cash Flow'!J104</f>
        <v>43031.678978392156</v>
      </c>
      <c r="W4" s="21">
        <f>'Monthly Cash Flow'!K104</f>
        <v>26440.19920734974</v>
      </c>
      <c r="X4" s="21">
        <f>'Monthly Cash Flow'!L104</f>
        <v>40661.7994426169</v>
      </c>
      <c r="Y4" s="21">
        <f>'Monthly Cash Flow'!M104</f>
        <v>33727.90632364052</v>
      </c>
      <c r="Z4" s="21">
        <f>'Monthly Cash Flow'!B158</f>
        <v>31701.610024447786</v>
      </c>
      <c r="AA4" s="21">
        <f>'Monthly Cash Flow'!C158</f>
        <v>31633.011349790206</v>
      </c>
      <c r="AB4" s="21">
        <f>'Monthly Cash Flow'!D158</f>
        <v>24882.88442679547</v>
      </c>
      <c r="AC4" s="21">
        <f>'Monthly Cash Flow'!E158</f>
        <v>42754.26005326572</v>
      </c>
      <c r="AD4" s="21">
        <f>'Monthly Cash Flow'!F158</f>
        <v>27641.386614856165</v>
      </c>
      <c r="AE4" s="21">
        <f>'Monthly Cash Flow'!G158</f>
        <v>24506.043885766936</v>
      </c>
      <c r="AF4" s="21">
        <f>'Monthly Cash Flow'!H158</f>
        <v>27229.605582260265</v>
      </c>
      <c r="AG4" s="21">
        <f>'Monthly Cash Flow'!I158</f>
        <v>22235.584312828025</v>
      </c>
      <c r="AH4" s="21">
        <f>'Monthly Cash Flow'!J158</f>
        <v>43031.678978392156</v>
      </c>
      <c r="AI4" s="21">
        <f>'Monthly Cash Flow'!K158</f>
        <v>26440.19920734974</v>
      </c>
      <c r="AJ4" s="21">
        <f>'Monthly Cash Flow'!L158</f>
        <v>40661.7994426169</v>
      </c>
      <c r="AK4" s="21">
        <f>'Monthly Cash Flow'!M158</f>
        <v>33727.90632364052</v>
      </c>
    </row>
    <row r="5" spans="2:37" s="2" customFormat="1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" customFormat="1" ht="15.75">
      <c r="A6" s="18" t="s">
        <v>143</v>
      </c>
      <c r="B6" s="21">
        <f>'Monthly Cash Flow'!B53</f>
        <v>0</v>
      </c>
      <c r="C6" s="21">
        <f>'Monthly Cash Flow'!C53</f>
        <v>0</v>
      </c>
      <c r="D6" s="21">
        <f>'Monthly Cash Flow'!D53</f>
        <v>0</v>
      </c>
      <c r="E6" s="21">
        <f>'Monthly Cash Flow'!E53</f>
        <v>0</v>
      </c>
      <c r="F6" s="21">
        <f>'Monthly Cash Flow'!F53</f>
        <v>483020.8333333333</v>
      </c>
      <c r="G6" s="21">
        <f>'Monthly Cash Flow'!G53</f>
        <v>467359.28819444444</v>
      </c>
      <c r="H6" s="21">
        <f>'Monthly Cash Flow'!H53</f>
        <v>432297.22231488023</v>
      </c>
      <c r="I6" s="21">
        <f>'Monthly Cash Flow'!I53</f>
        <v>379364.98027810804</v>
      </c>
      <c r="J6" s="21">
        <f>'Monthly Cash Flow'!J53</f>
        <v>324620.44231711177</v>
      </c>
      <c r="K6" s="21">
        <f>'Monthly Cash Flow'!K53</f>
        <v>281796.22494757664</v>
      </c>
      <c r="L6" s="21">
        <f>'Monthly Cash Flow'!L53</f>
        <v>268336.7259927384</v>
      </c>
      <c r="M6" s="21">
        <f>'Monthly Cash Flow'!M53</f>
        <v>258077.75803920854</v>
      </c>
      <c r="N6" s="21">
        <f>'Monthly Cash Flow'!B106</f>
        <v>345732.9540131586</v>
      </c>
      <c r="O6" s="21">
        <f>'Monthly Cash Flow'!C106</f>
        <v>33268.11473616978</v>
      </c>
      <c r="P6" s="21">
        <f>'Monthly Cash Flow'!D106</f>
        <v>24892.422529882693</v>
      </c>
      <c r="Q6" s="21">
        <f>'Monthly Cash Flow'!E106</f>
        <v>42754.31569220041</v>
      </c>
      <c r="R6" s="21">
        <f>'Monthly Cash Flow'!F106</f>
        <v>27641.38693941661</v>
      </c>
      <c r="S6" s="21">
        <f>'Monthly Cash Flow'!G106</f>
        <v>24506.043887660227</v>
      </c>
      <c r="T6" s="21">
        <f>'Monthly Cash Flow'!H106</f>
        <v>27229.605582271295</v>
      </c>
      <c r="U6" s="21">
        <f>'Monthly Cash Flow'!I106</f>
        <v>22235.584312828112</v>
      </c>
      <c r="V6" s="21">
        <f>'Monthly Cash Flow'!J106</f>
        <v>43031.678978392156</v>
      </c>
      <c r="W6" s="21">
        <f>'Monthly Cash Flow'!K106</f>
        <v>26440.19920734974</v>
      </c>
      <c r="X6" s="21">
        <f>'Monthly Cash Flow'!L106</f>
        <v>40661.7994426169</v>
      </c>
      <c r="Y6" s="21">
        <f>'Monthly Cash Flow'!M106</f>
        <v>33727.90632364052</v>
      </c>
      <c r="Z6" s="21">
        <f>'Monthly Cash Flow'!B160</f>
        <v>65429.516348088306</v>
      </c>
      <c r="AA6" s="21">
        <f>'Monthly Cash Flow'!C160</f>
        <v>31633.011349790206</v>
      </c>
      <c r="AB6" s="21">
        <f>'Monthly Cash Flow'!D160</f>
        <v>24882.88442679547</v>
      </c>
      <c r="AC6" s="21">
        <f>'Monthly Cash Flow'!E160</f>
        <v>42754.26005326572</v>
      </c>
      <c r="AD6" s="21">
        <f>'Monthly Cash Flow'!F160</f>
        <v>27641.386614856165</v>
      </c>
      <c r="AE6" s="21">
        <f>'Monthly Cash Flow'!G160</f>
        <v>24506.043885766936</v>
      </c>
      <c r="AF6" s="21">
        <f>'Monthly Cash Flow'!H160</f>
        <v>27229.605582260265</v>
      </c>
      <c r="AG6" s="21">
        <f>'Monthly Cash Flow'!I160</f>
        <v>22235.584312828025</v>
      </c>
      <c r="AH6" s="21">
        <f>'Monthly Cash Flow'!J160</f>
        <v>43031.678978392156</v>
      </c>
      <c r="AI6" s="21">
        <f>'Monthly Cash Flow'!K160</f>
        <v>26440.19920734974</v>
      </c>
      <c r="AJ6" s="21">
        <f>'Monthly Cash Flow'!L160</f>
        <v>40661.7994426169</v>
      </c>
      <c r="AK6" s="21">
        <f>'Monthly Cash Flow'!M160</f>
        <v>33727.90632364052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48"/>
  <sheetViews>
    <sheetView workbookViewId="0" topLeftCell="A1">
      <selection activeCell="A3" sqref="A3"/>
    </sheetView>
  </sheetViews>
  <sheetFormatPr defaultColWidth="8.796875" defaultRowHeight="15"/>
  <cols>
    <col min="1" max="1" width="12" style="0" customWidth="1"/>
    <col min="2" max="3" width="9.69921875" style="83" customWidth="1"/>
    <col min="5" max="5" width="12.296875" style="0" customWidth="1"/>
    <col min="6" max="6" width="11.69921875" style="0" customWidth="1"/>
    <col min="7" max="7" width="12.296875" style="0" customWidth="1"/>
    <col min="9" max="36" width="9.59765625" style="2" customWidth="1"/>
    <col min="37" max="40" width="6.296875" style="2" customWidth="1"/>
  </cols>
  <sheetData>
    <row r="1" ht="15.75">
      <c r="A1" t="s">
        <v>301</v>
      </c>
    </row>
    <row r="2" ht="15.75">
      <c r="A2" t="s">
        <v>459</v>
      </c>
    </row>
    <row r="3" ht="15.75">
      <c r="E3" t="s">
        <v>350</v>
      </c>
    </row>
    <row r="4" spans="2:7" ht="15.75">
      <c r="B4" s="83" t="s">
        <v>297</v>
      </c>
      <c r="C4" s="100">
        <f>'Prices and Spreads'!B6</f>
        <v>0.4</v>
      </c>
      <c r="F4" s="85" t="s">
        <v>209</v>
      </c>
      <c r="G4" s="85" t="s">
        <v>210</v>
      </c>
    </row>
    <row r="5" spans="2:7" ht="15.75">
      <c r="B5" s="83" t="s">
        <v>298</v>
      </c>
      <c r="C5" s="100">
        <f>'Prices and Spreads'!C6</f>
        <v>0.9</v>
      </c>
      <c r="E5" t="s">
        <v>119</v>
      </c>
      <c r="F5" s="102">
        <f>AVERAGE(F36:F227)</f>
        <v>40.192565443547444</v>
      </c>
      <c r="G5" s="102">
        <f>AVERAGE(G36:G227)</f>
        <v>48.252174530235976</v>
      </c>
    </row>
    <row r="6" spans="5:7" ht="15.75">
      <c r="E6" t="s">
        <v>211</v>
      </c>
      <c r="F6" s="84">
        <f>STDEV(F36:F227)</f>
        <v>87.85527217990517</v>
      </c>
      <c r="G6" s="84">
        <f>STDEV(G36:G227)</f>
        <v>84.74216404191628</v>
      </c>
    </row>
    <row r="7" spans="2:7" ht="15.75">
      <c r="B7" t="str">
        <f>'Prices and Spreads'!J3</f>
        <v>Calf</v>
      </c>
      <c r="C7" t="str">
        <f>'Prices and Spreads'!K3</f>
        <v>Yearling</v>
      </c>
      <c r="E7" t="s">
        <v>212</v>
      </c>
      <c r="F7" s="84">
        <f>MIN(F36:F227)</f>
        <v>-123.75800255956761</v>
      </c>
      <c r="G7" s="84">
        <f>MIN(G36:G227)</f>
        <v>-107.86320634024996</v>
      </c>
    </row>
    <row r="8" spans="1:7" ht="15.75">
      <c r="A8" t="str">
        <f>'Prices and Spreads'!I4</f>
        <v>In Wt</v>
      </c>
      <c r="B8" s="101">
        <f>'Prices and Spreads'!J4</f>
        <v>550</v>
      </c>
      <c r="C8" s="101">
        <f>'Prices and Spreads'!K4</f>
        <v>750</v>
      </c>
      <c r="E8" t="s">
        <v>213</v>
      </c>
      <c r="F8" s="84">
        <f>MAX(F36:F227)</f>
        <v>424.3640959557482</v>
      </c>
      <c r="G8" s="84">
        <f>MAX(G36:G227)</f>
        <v>476.2714088503289</v>
      </c>
    </row>
    <row r="9" spans="1:7" ht="15.75">
      <c r="A9" t="str">
        <f>'Prices and Spreads'!I5</f>
        <v>Out wt</v>
      </c>
      <c r="B9" s="101">
        <f>'Prices and Spreads'!J5</f>
        <v>1250</v>
      </c>
      <c r="C9" s="101">
        <f>'Prices and Spreads'!K5</f>
        <v>1350</v>
      </c>
      <c r="E9" t="s">
        <v>214</v>
      </c>
      <c r="F9">
        <f>COUNT(F36:F227)</f>
        <v>192</v>
      </c>
      <c r="G9">
        <f>COUNT(G36:G227)</f>
        <v>192</v>
      </c>
    </row>
    <row r="10" spans="1:3" ht="15.75">
      <c r="A10" t="str">
        <f>'Prices and Spreads'!I6</f>
        <v>Pay wt</v>
      </c>
      <c r="B10" s="101">
        <f>'Prices and Spreads'!J6</f>
        <v>1250</v>
      </c>
      <c r="C10" s="101">
        <f>'Prices and Spreads'!K6</f>
        <v>1350</v>
      </c>
    </row>
    <row r="11" spans="1:7" ht="15.75">
      <c r="A11" t="str">
        <f>'Prices and Spreads'!I7</f>
        <v>DOF</v>
      </c>
      <c r="B11" s="91">
        <f>'Prices and Spreads'!J7</f>
        <v>215.3846153846154</v>
      </c>
      <c r="C11" s="91">
        <f>'Prices and Spreads'!K7</f>
        <v>166.66666666666666</v>
      </c>
      <c r="F11" s="85" t="s">
        <v>209</v>
      </c>
      <c r="G11" s="85" t="s">
        <v>210</v>
      </c>
    </row>
    <row r="12" spans="1:7" ht="15.75">
      <c r="A12" t="str">
        <f>'Prices and Spreads'!I8</f>
        <v>ADG</v>
      </c>
      <c r="B12">
        <f>'Prices and Spreads'!J8</f>
        <v>3.25</v>
      </c>
      <c r="C12">
        <f>'Prices and Spreads'!K8</f>
        <v>3.6</v>
      </c>
      <c r="E12" t="s">
        <v>215</v>
      </c>
      <c r="F12" s="89">
        <f>FREQUENCY(F$36:F$227,$D237)/F$9</f>
        <v>0.03125</v>
      </c>
      <c r="G12" s="89">
        <f>FREQUENCY(G$36:G$227,$D237)/G$9</f>
        <v>0.020833333333333332</v>
      </c>
    </row>
    <row r="13" spans="1:7" ht="15.75">
      <c r="A13" t="str">
        <f>'Prices and Spreads'!I9</f>
        <v>FE dm</v>
      </c>
      <c r="B13">
        <f>'Prices and Spreads'!J9</f>
        <v>5.9</v>
      </c>
      <c r="C13">
        <f>'Prices and Spreads'!K9</f>
        <v>6.2</v>
      </c>
      <c r="E13" s="90" t="s">
        <v>216</v>
      </c>
      <c r="F13" s="89">
        <f>FREQUENCY(F$36:F$227,$D238)/F$9-SUM(F$12:F12)</f>
        <v>0.07291666666666667</v>
      </c>
      <c r="G13" s="89">
        <f>FREQUENCY(G$36:G$227,$D238)/G$9-SUM(G$12:G12)</f>
        <v>0.026041666666666668</v>
      </c>
    </row>
    <row r="14" spans="1:7" ht="15.75">
      <c r="A14" t="str">
        <f>'Prices and Spreads'!I10</f>
        <v>DM Intake</v>
      </c>
      <c r="B14" s="84">
        <f>'Prices and Spreads'!J10</f>
        <v>19.175</v>
      </c>
      <c r="C14" s="84">
        <f>'Prices and Spreads'!K10</f>
        <v>22.32</v>
      </c>
      <c r="E14" s="90" t="s">
        <v>217</v>
      </c>
      <c r="F14" s="89">
        <f>FREQUENCY(F$36:F$227,$D239)/F$9-SUM(F$12:F13)</f>
        <v>0.06770833333333333</v>
      </c>
      <c r="G14" s="89">
        <f>FREQUENCY(G$36:G$227,$D239)/G$9-SUM(G$12:G13)</f>
        <v>0.05729166666666667</v>
      </c>
    </row>
    <row r="15" spans="1:7" ht="15.75">
      <c r="A15" t="str">
        <f>'Prices and Spreads'!I11</f>
        <v>V&amp;M supp</v>
      </c>
      <c r="B15" s="103">
        <f>'Prices and Spreads'!J11</f>
        <v>21.53846153846154</v>
      </c>
      <c r="C15" s="103">
        <f>'Prices and Spreads'!K11</f>
        <v>16.666666666666668</v>
      </c>
      <c r="E15" s="90" t="s">
        <v>218</v>
      </c>
      <c r="F15" s="89">
        <f>FREQUENCY(F$36:F$227,$D240)/F$9-SUM(F$12:F14)</f>
        <v>0.08854166666666669</v>
      </c>
      <c r="G15" s="89">
        <f>FREQUENCY(G$36:G$227,$D240)/G$9-SUM(G$12:G14)</f>
        <v>0.08854166666666667</v>
      </c>
    </row>
    <row r="16" spans="1:7" ht="15.75">
      <c r="A16" t="str">
        <f>'Prices and Spreads'!I12</f>
        <v>Vet Med</v>
      </c>
      <c r="B16" s="103">
        <f>'Prices and Spreads'!J12</f>
        <v>18.7</v>
      </c>
      <c r="C16" s="103">
        <f>'Prices and Spreads'!K12</f>
        <v>12.75</v>
      </c>
      <c r="E16" s="90" t="s">
        <v>219</v>
      </c>
      <c r="F16" s="89">
        <f>FREQUENCY(F$36:F$227,$D241)/F$9-SUM(F$12:F15)</f>
        <v>0.08333333333333331</v>
      </c>
      <c r="G16" s="89">
        <f>FREQUENCY(G$36:G$227,$D241)/G$9-SUM(G$12:G15)</f>
        <v>0.10937499999999997</v>
      </c>
    </row>
    <row r="17" spans="1:7" ht="15.75">
      <c r="A17" t="str">
        <f>'Prices and Spreads'!I13</f>
        <v>Death loss</v>
      </c>
      <c r="B17" s="104">
        <f>'Prices and Spreads'!J13</f>
        <v>0.015</v>
      </c>
      <c r="C17" s="104">
        <f>'Prices and Spreads'!K13</f>
        <v>0.0075</v>
      </c>
      <c r="E17" t="s">
        <v>220</v>
      </c>
      <c r="F17" s="89">
        <f>FREQUENCY(F$36:F$227,$D242)/F$9-SUM(F$12:F16)</f>
        <v>0.0625</v>
      </c>
      <c r="G17" s="89">
        <f>FREQUENCY(G$36:G$227,$D242)/G$9-SUM(G$12:G16)</f>
        <v>0.08854166666666669</v>
      </c>
    </row>
    <row r="18" spans="1:7" ht="15.75">
      <c r="A18" t="str">
        <f>'Prices and Spreads'!I14</f>
        <v>Trucking</v>
      </c>
      <c r="B18" s="105">
        <f>'Prices and Spreads'!J14</f>
        <v>22</v>
      </c>
      <c r="C18" s="105">
        <f>'Prices and Spreads'!K14</f>
        <v>28</v>
      </c>
      <c r="E18" t="s">
        <v>221</v>
      </c>
      <c r="F18" s="89">
        <f>FREQUENCY(F$36:F$227,$D243)/F$9-SUM(F$12:F17)</f>
        <v>0.09895833333333337</v>
      </c>
      <c r="G18" s="89">
        <f>FREQUENCY(G$36:G$227,$D243)/G$9-SUM(G$12:G17)</f>
        <v>0.13020833333333337</v>
      </c>
    </row>
    <row r="19" spans="1:7" ht="15.75">
      <c r="A19" t="str">
        <f>'Prices and Spreads'!I15</f>
        <v>Yardage</v>
      </c>
      <c r="B19" s="102">
        <f>'Prices and Spreads'!J15</f>
        <v>0.43</v>
      </c>
      <c r="C19" s="102">
        <f>'Prices and Spreads'!K15</f>
        <v>0.43</v>
      </c>
      <c r="E19" t="s">
        <v>222</v>
      </c>
      <c r="F19" s="89">
        <f>FREQUENCY(F$36:F$227,$D244)/F$9-SUM(F$12:F18)</f>
        <v>0.13541666666666663</v>
      </c>
      <c r="G19" s="89">
        <f>FREQUENCY(G$36:G$227,$D244)/G$9-SUM(G$12:G18)</f>
        <v>0.10416666666666663</v>
      </c>
    </row>
    <row r="20" spans="2:7" ht="15.75">
      <c r="B20"/>
      <c r="C20"/>
      <c r="E20" t="s">
        <v>223</v>
      </c>
      <c r="F20" s="89">
        <f>FREQUENCY(F$36:F$227,$D245)/F$9-SUM(F$12:F19)</f>
        <v>0.140625</v>
      </c>
      <c r="G20" s="89">
        <f>FREQUENCY(G$36:G$227,$D245)/G$9-SUM(G$12:G19)</f>
        <v>0.15625</v>
      </c>
    </row>
    <row r="21" spans="2:7" ht="15.75">
      <c r="B21"/>
      <c r="C21"/>
      <c r="E21" t="s">
        <v>224</v>
      </c>
      <c r="F21" s="89">
        <f>FREQUENCY(F$36:F$227,$D246)/F$9-SUM(F$12:F20)</f>
        <v>0.08333333333333337</v>
      </c>
      <c r="G21" s="89">
        <f>FREQUENCY(G$36:G$227,$D246)/G$9-SUM(G$12:G20)</f>
        <v>0.09375</v>
      </c>
    </row>
    <row r="22" spans="2:7" ht="15.75">
      <c r="B22"/>
      <c r="C22"/>
      <c r="E22" t="s">
        <v>225</v>
      </c>
      <c r="F22" s="89">
        <f>FREQUENCY(F$36:F$227,$D247)/F$9-SUM(F$12:F21)</f>
        <v>0.0625</v>
      </c>
      <c r="G22" s="89">
        <f>FREQUENCY(G$36:G$227,$D247)/G$9-SUM(G$12:G21)</f>
        <v>0.06770833333333337</v>
      </c>
    </row>
    <row r="23" spans="2:7" ht="15.75">
      <c r="B23"/>
      <c r="C23"/>
      <c r="E23" t="s">
        <v>226</v>
      </c>
      <c r="F23" s="89">
        <f>FREQUENCY(F$36:F$227,$D248)/F$9-SUM(F$12:F22)</f>
        <v>0.03645833333333326</v>
      </c>
      <c r="G23" s="89">
        <f>FREQUENCY(G$36:G$227,$D248)/G$9-SUM(G$12:G22)</f>
        <v>0.015625</v>
      </c>
    </row>
    <row r="24" spans="6:40" ht="15.75">
      <c r="F24" s="89"/>
      <c r="G24" s="8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6:40" ht="15.75">
      <c r="F25" s="89"/>
      <c r="G25" s="8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6:40" ht="15.75">
      <c r="F26" s="89"/>
      <c r="G26" s="8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6:40" ht="15.75">
      <c r="F27" s="89"/>
      <c r="G27" s="8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6:40" ht="15.75">
      <c r="F28" s="89"/>
      <c r="G28" s="89"/>
      <c r="I28" s="10" t="s">
        <v>227</v>
      </c>
      <c r="J28" s="10" t="s">
        <v>228</v>
      </c>
      <c r="K28" s="10" t="s">
        <v>227</v>
      </c>
      <c r="L28" s="10" t="s">
        <v>228</v>
      </c>
      <c r="M28" s="10" t="s">
        <v>227</v>
      </c>
      <c r="N28" s="10" t="s">
        <v>228</v>
      </c>
      <c r="O28" s="10" t="s">
        <v>227</v>
      </c>
      <c r="P28" s="10" t="s">
        <v>228</v>
      </c>
      <c r="Q28" s="10" t="s">
        <v>227</v>
      </c>
      <c r="R28" s="10" t="s">
        <v>228</v>
      </c>
      <c r="S28" s="10" t="s">
        <v>227</v>
      </c>
      <c r="T28" s="10" t="s">
        <v>228</v>
      </c>
      <c r="U28" s="10" t="s">
        <v>227</v>
      </c>
      <c r="V28" s="10" t="s">
        <v>228</v>
      </c>
      <c r="W28" s="10" t="s">
        <v>227</v>
      </c>
      <c r="X28" s="10" t="s">
        <v>228</v>
      </c>
      <c r="Y28" s="10" t="s">
        <v>227</v>
      </c>
      <c r="Z28" s="10" t="s">
        <v>228</v>
      </c>
      <c r="AA28" s="10" t="s">
        <v>227</v>
      </c>
      <c r="AB28" s="10" t="s">
        <v>228</v>
      </c>
      <c r="AC28" s="10" t="s">
        <v>227</v>
      </c>
      <c r="AD28" s="10" t="s">
        <v>228</v>
      </c>
      <c r="AE28" s="10" t="s">
        <v>227</v>
      </c>
      <c r="AF28" s="10" t="s">
        <v>228</v>
      </c>
      <c r="AG28" s="10" t="s">
        <v>227</v>
      </c>
      <c r="AH28" s="10" t="s">
        <v>228</v>
      </c>
      <c r="AI28" s="10" t="s">
        <v>227</v>
      </c>
      <c r="AJ28" s="10" t="s">
        <v>228</v>
      </c>
      <c r="AK28" s="10"/>
      <c r="AL28" s="10"/>
      <c r="AM28" s="10"/>
      <c r="AN28" s="10"/>
    </row>
    <row r="29" spans="9:36" ht="15.75">
      <c r="I29" s="2">
        <v>1990</v>
      </c>
      <c r="J29" s="2">
        <v>1990</v>
      </c>
      <c r="K29" s="2">
        <f aca="true" t="shared" si="0" ref="K29:AJ29">1+I29</f>
        <v>1991</v>
      </c>
      <c r="L29" s="2">
        <f t="shared" si="0"/>
        <v>1991</v>
      </c>
      <c r="M29" s="2">
        <f t="shared" si="0"/>
        <v>1992</v>
      </c>
      <c r="N29" s="2">
        <f t="shared" si="0"/>
        <v>1992</v>
      </c>
      <c r="O29" s="2">
        <f t="shared" si="0"/>
        <v>1993</v>
      </c>
      <c r="P29" s="2">
        <f t="shared" si="0"/>
        <v>1993</v>
      </c>
      <c r="Q29" s="2">
        <f t="shared" si="0"/>
        <v>1994</v>
      </c>
      <c r="R29" s="2">
        <f t="shared" si="0"/>
        <v>1994</v>
      </c>
      <c r="S29" s="2">
        <f t="shared" si="0"/>
        <v>1995</v>
      </c>
      <c r="T29" s="2">
        <f t="shared" si="0"/>
        <v>1995</v>
      </c>
      <c r="U29" s="2">
        <f t="shared" si="0"/>
        <v>1996</v>
      </c>
      <c r="V29" s="2">
        <f t="shared" si="0"/>
        <v>1996</v>
      </c>
      <c r="W29" s="2">
        <f t="shared" si="0"/>
        <v>1997</v>
      </c>
      <c r="X29" s="2">
        <f t="shared" si="0"/>
        <v>1997</v>
      </c>
      <c r="Y29" s="2">
        <f t="shared" si="0"/>
        <v>1998</v>
      </c>
      <c r="Z29" s="2">
        <f t="shared" si="0"/>
        <v>1998</v>
      </c>
      <c r="AA29" s="2">
        <f t="shared" si="0"/>
        <v>1999</v>
      </c>
      <c r="AB29" s="2">
        <f t="shared" si="0"/>
        <v>1999</v>
      </c>
      <c r="AC29" s="2">
        <f t="shared" si="0"/>
        <v>2000</v>
      </c>
      <c r="AD29" s="2">
        <f t="shared" si="0"/>
        <v>2000</v>
      </c>
      <c r="AE29" s="2">
        <f t="shared" si="0"/>
        <v>2001</v>
      </c>
      <c r="AF29" s="2">
        <f t="shared" si="0"/>
        <v>2001</v>
      </c>
      <c r="AG29" s="2">
        <f t="shared" si="0"/>
        <v>2002</v>
      </c>
      <c r="AH29" s="2">
        <f t="shared" si="0"/>
        <v>2002</v>
      </c>
      <c r="AI29" s="2">
        <f t="shared" si="0"/>
        <v>2003</v>
      </c>
      <c r="AJ29" s="2">
        <f t="shared" si="0"/>
        <v>2003</v>
      </c>
    </row>
    <row r="30" spans="5:36" ht="15.75">
      <c r="E30" s="276"/>
      <c r="F30" s="276"/>
      <c r="G30" s="276"/>
      <c r="H30" t="s">
        <v>85</v>
      </c>
      <c r="I30" s="91">
        <f>F36</f>
        <v>99.25230134368556</v>
      </c>
      <c r="J30" s="91">
        <f>G36</f>
        <v>107.39487241345378</v>
      </c>
      <c r="K30" s="91">
        <f>F48</f>
        <v>77.3329245539291</v>
      </c>
      <c r="L30" s="91">
        <f>G48</f>
        <v>80.82581044645015</v>
      </c>
      <c r="M30" s="91">
        <f>F60</f>
        <v>-56.52551455750449</v>
      </c>
      <c r="N30" s="91">
        <f>G60</f>
        <v>14.561044120670147</v>
      </c>
      <c r="O30" s="91">
        <f>F72</f>
        <v>128.1085089355245</v>
      </c>
      <c r="P30" s="91">
        <f>G72</f>
        <v>104.11942300684893</v>
      </c>
      <c r="Q30" s="22">
        <f>F84</f>
        <v>-38.34974428759247</v>
      </c>
      <c r="R30" s="22">
        <f>G84</f>
        <v>-14.289368320812258</v>
      </c>
      <c r="S30" s="22">
        <f>F96</f>
        <v>93.71763812147441</v>
      </c>
      <c r="T30" s="22">
        <f>G96</f>
        <v>93.99897137520762</v>
      </c>
      <c r="U30" s="22">
        <f>F108</f>
        <v>-6.994703995209846</v>
      </c>
      <c r="V30" s="22">
        <f aca="true" t="shared" si="1" ref="V30:V65">G108</f>
        <v>13.834460725205759</v>
      </c>
      <c r="W30" s="22">
        <f>F120</f>
        <v>59.56124893357287</v>
      </c>
      <c r="X30" s="22">
        <f aca="true" t="shared" si="2" ref="X30:X65">G120</f>
        <v>70.88075864848892</v>
      </c>
      <c r="Y30" s="22">
        <f>F132</f>
        <v>-36.97093177936449</v>
      </c>
      <c r="Z30" s="22">
        <f aca="true" t="shared" si="3" ref="Z30:Z65">G132</f>
        <v>-61.58198156816063</v>
      </c>
      <c r="AA30" s="22">
        <f>F144</f>
        <v>-9.160809273726386</v>
      </c>
      <c r="AB30" s="22">
        <f aca="true" t="shared" si="4" ref="AB30:AB65">G144</f>
        <v>38.55574455593417</v>
      </c>
      <c r="AC30" s="22">
        <f>F156</f>
        <v>62.73355432405825</v>
      </c>
      <c r="AD30" s="22">
        <f aca="true" t="shared" si="5" ref="AD30:AD65">G156</f>
        <v>70.9755656211228</v>
      </c>
      <c r="AE30" s="22">
        <f>F168</f>
        <v>107.65887359556754</v>
      </c>
      <c r="AF30" s="22">
        <f>G168</f>
        <v>122.96249788318951</v>
      </c>
      <c r="AG30" s="22">
        <f>F180</f>
        <v>-68.50716028557363</v>
      </c>
      <c r="AH30" s="22">
        <f aca="true" t="shared" si="6" ref="AH30:AH65">G180</f>
        <v>-56.755733202896536</v>
      </c>
      <c r="AI30" s="22">
        <f>F192</f>
        <v>115.48926681821004</v>
      </c>
      <c r="AJ30" s="22">
        <f>G192</f>
        <v>131.60357196454518</v>
      </c>
    </row>
    <row r="31" spans="5:36" ht="14.25" customHeight="1">
      <c r="E31" s="98"/>
      <c r="F31" s="97"/>
      <c r="G31" s="97"/>
      <c r="H31" t="s">
        <v>87</v>
      </c>
      <c r="I31" s="91">
        <f aca="true" t="shared" si="7" ref="I31:I65">F37</f>
        <v>94.5159027551052</v>
      </c>
      <c r="J31" s="91">
        <f aca="true" t="shared" si="8" ref="J31:J65">G37</f>
        <v>120.38401066068131</v>
      </c>
      <c r="K31" s="91">
        <f aca="true" t="shared" si="9" ref="K31:K65">F49</f>
        <v>100.59343263391267</v>
      </c>
      <c r="L31" s="91">
        <f aca="true" t="shared" si="10" ref="L31:L65">G49</f>
        <v>93.76999831923426</v>
      </c>
      <c r="M31" s="91">
        <f aca="true" t="shared" si="11" ref="M31:M65">F61</f>
        <v>13.935435570366508</v>
      </c>
      <c r="N31" s="91">
        <f aca="true" t="shared" si="12" ref="N31:N65">G61</f>
        <v>78.85826964400653</v>
      </c>
      <c r="O31" s="91">
        <f aca="true" t="shared" si="13" ref="O31:O65">F73</f>
        <v>150.36027569969878</v>
      </c>
      <c r="P31" s="91">
        <f aca="true" t="shared" si="14" ref="P31:P65">G73</f>
        <v>156.87470575818145</v>
      </c>
      <c r="Q31" s="22">
        <f aca="true" t="shared" si="15" ref="Q31:Q65">F85</f>
        <v>-17.835783433317516</v>
      </c>
      <c r="R31" s="22">
        <f aca="true" t="shared" si="16" ref="R31:R65">G85</f>
        <v>-4.292405337603441</v>
      </c>
      <c r="S31" s="22">
        <f aca="true" t="shared" si="17" ref="S31:S65">F97</f>
        <v>81.306349686192</v>
      </c>
      <c r="T31" s="22">
        <f aca="true" t="shared" si="18" ref="T31:T65">G97</f>
        <v>126.12190358964571</v>
      </c>
      <c r="U31" s="22">
        <f aca="true" t="shared" si="19" ref="U31:U65">F109</f>
        <v>-0.6913544312508861</v>
      </c>
      <c r="V31" s="22">
        <f t="shared" si="1"/>
        <v>-6.8119276679479555</v>
      </c>
      <c r="W31" s="22">
        <f aca="true" t="shared" si="20" ref="W31:W65">F121</f>
        <v>78.79601876876453</v>
      </c>
      <c r="X31" s="22">
        <f t="shared" si="2"/>
        <v>74.95268207950134</v>
      </c>
      <c r="Y31" s="22">
        <f aca="true" t="shared" si="21" ref="Y31:Y65">F133</f>
        <v>-93.54360623421675</v>
      </c>
      <c r="Z31" s="22">
        <f t="shared" si="3"/>
        <v>-92.86406452441943</v>
      </c>
      <c r="AA31" s="22">
        <f aca="true" t="shared" si="22" ref="AA31:AA65">F145</f>
        <v>26.2965992835519</v>
      </c>
      <c r="AB31" s="22">
        <f t="shared" si="4"/>
        <v>35.27804284025295</v>
      </c>
      <c r="AC31" s="22">
        <f aca="true" t="shared" si="23" ref="AC31:AC65">F157</f>
        <v>46.20195929231474</v>
      </c>
      <c r="AD31" s="22">
        <f t="shared" si="5"/>
        <v>43.19722916718494</v>
      </c>
      <c r="AE31" s="22">
        <f aca="true" t="shared" si="24" ref="AE31:AE65">F169</f>
        <v>78.4994007258679</v>
      </c>
      <c r="AF31" s="22">
        <f aca="true" t="shared" si="25" ref="AF31:AF65">G169</f>
        <v>147.83116519686706</v>
      </c>
      <c r="AG31" s="22">
        <f aca="true" t="shared" si="26" ref="AG31:AG65">F181</f>
        <v>-4.800182385183177</v>
      </c>
      <c r="AH31" s="22">
        <f t="shared" si="6"/>
        <v>-17.108422945821147</v>
      </c>
      <c r="AI31" s="22">
        <f aca="true" t="shared" si="27" ref="AI31:AI65">F193</f>
        <v>128.23682236229408</v>
      </c>
      <c r="AJ31" s="22">
        <f aca="true" t="shared" si="28" ref="AJ31:AJ65">G193</f>
        <v>125.83829359367401</v>
      </c>
    </row>
    <row r="32" spans="8:36" ht="15.75">
      <c r="H32" t="s">
        <v>89</v>
      </c>
      <c r="I32" s="91">
        <f t="shared" si="7"/>
        <v>104.37523833315882</v>
      </c>
      <c r="J32" s="91">
        <f t="shared" si="8"/>
        <v>128.97069175040792</v>
      </c>
      <c r="K32" s="91">
        <f t="shared" si="9"/>
        <v>83.84407387876053</v>
      </c>
      <c r="L32" s="91">
        <f t="shared" si="10"/>
        <v>103.4062869375855</v>
      </c>
      <c r="M32" s="91">
        <f t="shared" si="11"/>
        <v>58.26308430818881</v>
      </c>
      <c r="N32" s="91">
        <f t="shared" si="12"/>
        <v>84.42727616048168</v>
      </c>
      <c r="O32" s="91">
        <f t="shared" si="13"/>
        <v>181.52901076532632</v>
      </c>
      <c r="P32" s="91">
        <f t="shared" si="14"/>
        <v>201.03052521051433</v>
      </c>
      <c r="Q32" s="22">
        <f t="shared" si="15"/>
        <v>22.896571746785526</v>
      </c>
      <c r="R32" s="22">
        <f t="shared" si="16"/>
        <v>38.432135713290805</v>
      </c>
      <c r="S32" s="22">
        <f t="shared" si="17"/>
        <v>46.8547969005391</v>
      </c>
      <c r="T32" s="22">
        <f t="shared" si="18"/>
        <v>94.38257158311113</v>
      </c>
      <c r="U32" s="22">
        <f t="shared" si="19"/>
        <v>-17.732094518920377</v>
      </c>
      <c r="V32" s="22">
        <f t="shared" si="1"/>
        <v>-27.79703187119064</v>
      </c>
      <c r="W32" s="22">
        <f t="shared" si="20"/>
        <v>104.5266700882404</v>
      </c>
      <c r="X32" s="22">
        <f t="shared" si="2"/>
        <v>112.20678648035454</v>
      </c>
      <c r="Y32" s="22">
        <f t="shared" si="21"/>
        <v>-103.93094324028198</v>
      </c>
      <c r="Z32" s="22">
        <f t="shared" si="3"/>
        <v>-71.93234676659598</v>
      </c>
      <c r="AA32" s="22">
        <f t="shared" si="22"/>
        <v>64.74456216422212</v>
      </c>
      <c r="AB32" s="22">
        <f t="shared" si="4"/>
        <v>45.422341412088755</v>
      </c>
      <c r="AC32" s="22">
        <f t="shared" si="23"/>
        <v>99.3376693960324</v>
      </c>
      <c r="AD32" s="22">
        <f t="shared" si="5"/>
        <v>77.16503827904549</v>
      </c>
      <c r="AE32" s="22">
        <f t="shared" si="24"/>
        <v>138.17272115694897</v>
      </c>
      <c r="AF32" s="22">
        <f t="shared" si="25"/>
        <v>148.07934148224354</v>
      </c>
      <c r="AG32" s="22">
        <f t="shared" si="26"/>
        <v>39.499073928990896</v>
      </c>
      <c r="AH32" s="22">
        <f t="shared" si="6"/>
        <v>32.34083651113575</v>
      </c>
      <c r="AI32" s="22">
        <f t="shared" si="27"/>
        <v>131.43248247529723</v>
      </c>
      <c r="AJ32" s="22">
        <f t="shared" si="28"/>
        <v>120.02023557952346</v>
      </c>
    </row>
    <row r="33" spans="8:36" ht="15.75">
      <c r="H33" t="s">
        <v>90</v>
      </c>
      <c r="I33" s="91">
        <f t="shared" si="7"/>
        <v>129.5965857830106</v>
      </c>
      <c r="J33" s="91">
        <f t="shared" si="8"/>
        <v>124.35156175094691</v>
      </c>
      <c r="K33" s="91">
        <f t="shared" si="9"/>
        <v>103.81700195513986</v>
      </c>
      <c r="L33" s="91">
        <f t="shared" si="10"/>
        <v>81.57507820505046</v>
      </c>
      <c r="M33" s="91">
        <f t="shared" si="11"/>
        <v>62.53621768070562</v>
      </c>
      <c r="N33" s="91">
        <f t="shared" si="12"/>
        <v>85.98878051145162</v>
      </c>
      <c r="O33" s="91">
        <f t="shared" si="13"/>
        <v>177.12086916126046</v>
      </c>
      <c r="P33" s="91">
        <f t="shared" si="14"/>
        <v>176.7392860158491</v>
      </c>
      <c r="Q33" s="22">
        <f t="shared" si="15"/>
        <v>24.698551598095264</v>
      </c>
      <c r="R33" s="22">
        <f t="shared" si="16"/>
        <v>34.607578402519394</v>
      </c>
      <c r="S33" s="22">
        <f t="shared" si="17"/>
        <v>50.749650456189954</v>
      </c>
      <c r="T33" s="22">
        <f t="shared" si="18"/>
        <v>30.129225222916332</v>
      </c>
      <c r="U33" s="22">
        <f t="shared" si="19"/>
        <v>-53.30850909017141</v>
      </c>
      <c r="V33" s="22">
        <f t="shared" si="1"/>
        <v>-94.14552171080383</v>
      </c>
      <c r="W33" s="22">
        <f t="shared" si="20"/>
        <v>116.19338388569574</v>
      </c>
      <c r="X33" s="22">
        <f t="shared" si="2"/>
        <v>88.9670861973121</v>
      </c>
      <c r="Y33" s="22">
        <f t="shared" si="21"/>
        <v>-59.42423603065669</v>
      </c>
      <c r="Z33" s="22">
        <f t="shared" si="3"/>
        <v>-42.397413096255306</v>
      </c>
      <c r="AA33" s="22">
        <f t="shared" si="22"/>
        <v>89.0112983864799</v>
      </c>
      <c r="AB33" s="22">
        <f t="shared" si="4"/>
        <v>82.23124424957139</v>
      </c>
      <c r="AC33" s="22">
        <f t="shared" si="23"/>
        <v>115.57831074975041</v>
      </c>
      <c r="AD33" s="22">
        <f t="shared" si="5"/>
        <v>74.15923393695269</v>
      </c>
      <c r="AE33" s="22">
        <f t="shared" si="24"/>
        <v>137.146845130162</v>
      </c>
      <c r="AF33" s="22">
        <f t="shared" si="25"/>
        <v>82.88135766797451</v>
      </c>
      <c r="AG33" s="22">
        <f t="shared" si="26"/>
        <v>-12.65056357100903</v>
      </c>
      <c r="AH33" s="22">
        <f t="shared" si="6"/>
        <v>13.80121151113579</v>
      </c>
      <c r="AI33" s="22">
        <f t="shared" si="27"/>
        <v>166.75277718790974</v>
      </c>
      <c r="AJ33" s="22">
        <f t="shared" si="28"/>
        <v>132.60013622221155</v>
      </c>
    </row>
    <row r="34" spans="2:36" ht="26.25" customHeight="1">
      <c r="B34" s="277" t="s">
        <v>299</v>
      </c>
      <c r="C34" s="277"/>
      <c r="E34" t="s">
        <v>207</v>
      </c>
      <c r="F34" s="91">
        <f>'Prices and Spreads'!J7</f>
        <v>215.3846153846154</v>
      </c>
      <c r="G34" s="91">
        <f>'Prices and Spreads'!K7</f>
        <v>166.66666666666666</v>
      </c>
      <c r="H34" t="s">
        <v>92</v>
      </c>
      <c r="I34" s="91">
        <f t="shared" si="7"/>
        <v>108.5427934118166</v>
      </c>
      <c r="J34" s="91">
        <f t="shared" si="8"/>
        <v>81.22239311842014</v>
      </c>
      <c r="K34" s="91">
        <f t="shared" si="9"/>
        <v>90.90254392242562</v>
      </c>
      <c r="L34" s="91">
        <f t="shared" si="10"/>
        <v>39.835946376061344</v>
      </c>
      <c r="M34" s="91">
        <f t="shared" si="11"/>
        <v>54.964714748288145</v>
      </c>
      <c r="N34" s="91">
        <f t="shared" si="12"/>
        <v>91.21801448490939</v>
      </c>
      <c r="O34" s="91">
        <f t="shared" si="13"/>
        <v>188.11820612746928</v>
      </c>
      <c r="P34" s="91">
        <f t="shared" si="14"/>
        <v>144.71357070651658</v>
      </c>
      <c r="Q34" s="22">
        <f t="shared" si="15"/>
        <v>-40.54499256362931</v>
      </c>
      <c r="R34" s="22">
        <f t="shared" si="16"/>
        <v>-62.097211034733775</v>
      </c>
      <c r="S34" s="22">
        <f t="shared" si="17"/>
        <v>6.562647287864024</v>
      </c>
      <c r="T34" s="22">
        <f t="shared" si="18"/>
        <v>-23.51595642250271</v>
      </c>
      <c r="U34" s="22">
        <f t="shared" si="19"/>
        <v>-46.0863078404177</v>
      </c>
      <c r="V34" s="22">
        <f t="shared" si="1"/>
        <v>-107.86320634024996</v>
      </c>
      <c r="W34" s="22">
        <f t="shared" si="20"/>
        <v>123.75472061201842</v>
      </c>
      <c r="X34" s="22">
        <f t="shared" si="2"/>
        <v>83.5354393864276</v>
      </c>
      <c r="Y34" s="22">
        <f t="shared" si="21"/>
        <v>-35.45498175897964</v>
      </c>
      <c r="Z34" s="22">
        <f t="shared" si="3"/>
        <v>-47.07010840404379</v>
      </c>
      <c r="AA34" s="22">
        <f t="shared" si="22"/>
        <v>60.49686985306758</v>
      </c>
      <c r="AB34" s="22">
        <f t="shared" si="4"/>
        <v>48.20519339644217</v>
      </c>
      <c r="AC34" s="22">
        <f t="shared" si="23"/>
        <v>109.50933706144264</v>
      </c>
      <c r="AD34" s="22">
        <f t="shared" si="5"/>
        <v>13.001421897495348</v>
      </c>
      <c r="AE34" s="22">
        <f t="shared" si="24"/>
        <v>129.92835775851032</v>
      </c>
      <c r="AF34" s="22">
        <f t="shared" si="25"/>
        <v>59.96282256832916</v>
      </c>
      <c r="AG34" s="22">
        <f t="shared" si="26"/>
        <v>4.030064329381304</v>
      </c>
      <c r="AH34" s="22">
        <f t="shared" si="6"/>
        <v>-24.114439131552402</v>
      </c>
      <c r="AI34" s="22">
        <f t="shared" si="27"/>
        <v>163.91987693121314</v>
      </c>
      <c r="AJ34" s="22">
        <f t="shared" si="28"/>
        <v>115.02482869331911</v>
      </c>
    </row>
    <row r="35" spans="1:36" ht="15.75">
      <c r="A35" t="s">
        <v>208</v>
      </c>
      <c r="B35" s="83" t="s">
        <v>209</v>
      </c>
      <c r="C35" s="83" t="s">
        <v>210</v>
      </c>
      <c r="E35" t="s">
        <v>208</v>
      </c>
      <c r="F35" s="85" t="s">
        <v>209</v>
      </c>
      <c r="G35" s="85" t="s">
        <v>210</v>
      </c>
      <c r="H35" t="s">
        <v>94</v>
      </c>
      <c r="I35" s="91">
        <f t="shared" si="7"/>
        <v>75.48953367388009</v>
      </c>
      <c r="J35" s="91">
        <f t="shared" si="8"/>
        <v>66.61034292193963</v>
      </c>
      <c r="K35" s="91">
        <f t="shared" si="9"/>
        <v>9.790238603647225</v>
      </c>
      <c r="L35" s="91">
        <f t="shared" si="10"/>
        <v>9.432218951131233</v>
      </c>
      <c r="M35" s="91">
        <f t="shared" si="11"/>
        <v>54.96437330691367</v>
      </c>
      <c r="N35" s="91">
        <f t="shared" si="12"/>
        <v>81.40023258774383</v>
      </c>
      <c r="O35" s="91">
        <f t="shared" si="13"/>
        <v>125.14332232025325</v>
      </c>
      <c r="P35" s="91">
        <f t="shared" si="14"/>
        <v>89.17607937918326</v>
      </c>
      <c r="Q35" s="22">
        <f t="shared" si="15"/>
        <v>-87.27512159324999</v>
      </c>
      <c r="R35" s="22">
        <f t="shared" si="16"/>
        <v>-103.93081078078296</v>
      </c>
      <c r="S35" s="22">
        <f t="shared" si="17"/>
        <v>-21.569064823188285</v>
      </c>
      <c r="T35" s="22">
        <f t="shared" si="18"/>
        <v>-28.22904048487335</v>
      </c>
      <c r="U35" s="22">
        <f t="shared" si="19"/>
        <v>-29.429271383171624</v>
      </c>
      <c r="V35" s="22">
        <f t="shared" si="1"/>
        <v>-28.17645197476962</v>
      </c>
      <c r="W35" s="22">
        <f t="shared" si="20"/>
        <v>59.22737411501683</v>
      </c>
      <c r="X35" s="22">
        <f t="shared" si="2"/>
        <v>13.801652675764402</v>
      </c>
      <c r="Y35" s="22">
        <f t="shared" si="21"/>
        <v>-48.047321453890476</v>
      </c>
      <c r="Z35" s="22">
        <f t="shared" si="3"/>
        <v>-38.83988807740991</v>
      </c>
      <c r="AA35" s="22">
        <f t="shared" si="22"/>
        <v>50.91855911738705</v>
      </c>
      <c r="AB35" s="22">
        <f t="shared" si="4"/>
        <v>46.42146740426564</v>
      </c>
      <c r="AC35" s="22">
        <f t="shared" si="23"/>
        <v>44.567672123733246</v>
      </c>
      <c r="AD35" s="22">
        <f t="shared" si="5"/>
        <v>1.447877377758985</v>
      </c>
      <c r="AE35" s="22">
        <f t="shared" si="24"/>
        <v>94.80195221442631</v>
      </c>
      <c r="AF35" s="22">
        <f t="shared" si="25"/>
        <v>80.8893544545335</v>
      </c>
      <c r="AG35" s="22">
        <f t="shared" si="26"/>
        <v>-33.734745270228274</v>
      </c>
      <c r="AH35" s="22">
        <f t="shared" si="6"/>
        <v>-27.98020531728349</v>
      </c>
      <c r="AI35" s="22">
        <f t="shared" si="27"/>
        <v>93.27439851742935</v>
      </c>
      <c r="AJ35" s="22">
        <f t="shared" si="28"/>
        <v>99.23312116500185</v>
      </c>
    </row>
    <row r="36" spans="1:36" ht="15.75">
      <c r="A36" s="86">
        <v>32874</v>
      </c>
      <c r="B36" s="87">
        <f>'Prices and Spreads'!J$6/100*'Historic Prices'!D18-('Historic Prices'!B11/100*'Prices and Spreads'!J$4*(1+'Historic Prices'!L11/100*7/12))-'Historic Prices'!N18-'Historic Prices'!P18</f>
        <v>99.25230134368556</v>
      </c>
      <c r="C36" s="87">
        <f>'Prices and Spreads'!K$6/100*'Historic Prices'!D18-('Historic Prices'!C13/100*'Prices and Spreads'!K$4*(1+'Historic Prices'!L11/100*5/12))-'Historic Prices'!O18-'Historic Prices'!Q18</f>
        <v>107.39487241345378</v>
      </c>
      <c r="E36" s="86">
        <v>32874</v>
      </c>
      <c r="F36" s="84">
        <f>B36</f>
        <v>99.25230134368556</v>
      </c>
      <c r="G36" s="84">
        <f>C36</f>
        <v>107.39487241345378</v>
      </c>
      <c r="H36" t="s">
        <v>116</v>
      </c>
      <c r="I36" s="91">
        <f t="shared" si="7"/>
        <v>73.85837496423167</v>
      </c>
      <c r="J36" s="91">
        <f t="shared" si="8"/>
        <v>77.39982547668278</v>
      </c>
      <c r="K36" s="91">
        <f t="shared" si="9"/>
        <v>-30.606450688469863</v>
      </c>
      <c r="L36" s="91">
        <f t="shared" si="10"/>
        <v>-22.894587631018112</v>
      </c>
      <c r="M36" s="91">
        <f t="shared" si="11"/>
        <v>62.538588192581926</v>
      </c>
      <c r="N36" s="91">
        <f t="shared" si="12"/>
        <v>64.03094495284847</v>
      </c>
      <c r="O36" s="91">
        <f t="shared" si="13"/>
        <v>87.6611480418467</v>
      </c>
      <c r="P36" s="91">
        <f t="shared" si="14"/>
        <v>60.24632022318454</v>
      </c>
      <c r="Q36" s="22">
        <f t="shared" si="15"/>
        <v>-64.21106928993913</v>
      </c>
      <c r="R36" s="22">
        <f t="shared" si="16"/>
        <v>-55.48488982723245</v>
      </c>
      <c r="S36" s="22">
        <f t="shared" si="17"/>
        <v>-48.45852444210723</v>
      </c>
      <c r="T36" s="22">
        <f t="shared" si="18"/>
        <v>-24.14167552189832</v>
      </c>
      <c r="U36" s="22">
        <f t="shared" si="19"/>
        <v>-17.913829973762745</v>
      </c>
      <c r="V36" s="22">
        <f t="shared" si="1"/>
        <v>9.176931600538992</v>
      </c>
      <c r="W36" s="22">
        <f t="shared" si="20"/>
        <v>47.20567360832359</v>
      </c>
      <c r="X36" s="22">
        <f t="shared" si="2"/>
        <v>12.003837191564557</v>
      </c>
      <c r="Y36" s="22">
        <f t="shared" si="21"/>
        <v>-98.7382840641757</v>
      </c>
      <c r="Z36" s="22">
        <f t="shared" si="3"/>
        <v>-62.264323713258335</v>
      </c>
      <c r="AA36" s="22">
        <f t="shared" si="22"/>
        <v>31.22813845588871</v>
      </c>
      <c r="AB36" s="22">
        <f t="shared" si="4"/>
        <v>24.199006765906205</v>
      </c>
      <c r="AC36" s="22">
        <f t="shared" si="23"/>
        <v>-17.558269188557404</v>
      </c>
      <c r="AD36" s="22">
        <f t="shared" si="5"/>
        <v>-12.026837122256879</v>
      </c>
      <c r="AE36" s="22">
        <f t="shared" si="24"/>
        <v>58.740674442384574</v>
      </c>
      <c r="AF36" s="22">
        <f t="shared" si="25"/>
        <v>44.78832881184549</v>
      </c>
      <c r="AG36" s="22">
        <f t="shared" si="26"/>
        <v>-78.74912078362175</v>
      </c>
      <c r="AH36" s="22">
        <f t="shared" si="6"/>
        <v>-55.61110771763835</v>
      </c>
      <c r="AI36" s="22">
        <f t="shared" si="27"/>
        <v>100.56674915917094</v>
      </c>
      <c r="AJ36" s="22">
        <f t="shared" si="28"/>
        <v>144.0508687955327</v>
      </c>
    </row>
    <row r="37" spans="1:36" ht="15.75">
      <c r="A37" s="86">
        <v>32905</v>
      </c>
      <c r="B37" s="87">
        <f>'Prices and Spreads'!J$6/100*'Historic Prices'!D19-('Historic Prices'!B12/100*'Prices and Spreads'!J$4*(1+'Historic Prices'!L12/100*7/12))-'Historic Prices'!N19-'Historic Prices'!P19</f>
        <v>94.5159027551052</v>
      </c>
      <c r="C37" s="87">
        <f>'Prices and Spreads'!K$6/100*'Historic Prices'!D19-('Historic Prices'!C14/100*'Prices and Spreads'!K$4*(1+'Historic Prices'!L12/100*5/12))-'Historic Prices'!O19-'Historic Prices'!Q19</f>
        <v>120.38401066068131</v>
      </c>
      <c r="E37" s="86">
        <v>32905</v>
      </c>
      <c r="F37" s="84">
        <f aca="true" t="shared" si="29" ref="F37:F100">B37</f>
        <v>94.5159027551052</v>
      </c>
      <c r="G37" s="84">
        <f aca="true" t="shared" si="30" ref="G37:G100">C37</f>
        <v>120.38401066068131</v>
      </c>
      <c r="H37" t="s">
        <v>117</v>
      </c>
      <c r="I37" s="91">
        <f t="shared" si="7"/>
        <v>75.43664899764985</v>
      </c>
      <c r="J37" s="91">
        <f t="shared" si="8"/>
        <v>90.23771827491007</v>
      </c>
      <c r="K37" s="91">
        <f t="shared" si="9"/>
        <v>-91.53515706862515</v>
      </c>
      <c r="L37" s="91">
        <f t="shared" si="10"/>
        <v>-79.44476194452876</v>
      </c>
      <c r="M37" s="91">
        <f t="shared" si="11"/>
        <v>74.81562685292741</v>
      </c>
      <c r="N37" s="91">
        <f t="shared" si="12"/>
        <v>90.2877174881018</v>
      </c>
      <c r="O37" s="91">
        <f t="shared" si="13"/>
        <v>54.96588602649882</v>
      </c>
      <c r="P37" s="91">
        <f t="shared" si="14"/>
        <v>56.5871835951006</v>
      </c>
      <c r="Q37" s="22">
        <f t="shared" si="15"/>
        <v>-34.1245179730071</v>
      </c>
      <c r="R37" s="22">
        <f t="shared" si="16"/>
        <v>-27.131046998681953</v>
      </c>
      <c r="S37" s="22">
        <f t="shared" si="17"/>
        <v>-60.618601252786675</v>
      </c>
      <c r="T37" s="22">
        <f t="shared" si="18"/>
        <v>-8.831728912051588</v>
      </c>
      <c r="U37" s="22">
        <f t="shared" si="19"/>
        <v>22.242164542488553</v>
      </c>
      <c r="V37" s="22">
        <f t="shared" si="1"/>
        <v>47.91909401770735</v>
      </c>
      <c r="W37" s="22">
        <f t="shared" si="20"/>
        <v>40.28806727196442</v>
      </c>
      <c r="X37" s="22">
        <f t="shared" si="2"/>
        <v>42.86397260066923</v>
      </c>
      <c r="Y37" s="22">
        <f t="shared" si="21"/>
        <v>-70.5994299014921</v>
      </c>
      <c r="Z37" s="22">
        <f t="shared" si="3"/>
        <v>-30.209716581860803</v>
      </c>
      <c r="AA37" s="22">
        <f t="shared" si="22"/>
        <v>28.0389527049918</v>
      </c>
      <c r="AB37" s="22">
        <f t="shared" si="4"/>
        <v>54.763127410626964</v>
      </c>
      <c r="AC37" s="22">
        <f t="shared" si="23"/>
        <v>-58.32392045882224</v>
      </c>
      <c r="AD37" s="22">
        <f t="shared" si="5"/>
        <v>-33.340404161752915</v>
      </c>
      <c r="AE37" s="22">
        <f t="shared" si="24"/>
        <v>21.978843384906753</v>
      </c>
      <c r="AF37" s="22">
        <f t="shared" si="25"/>
        <v>30.2363634262324</v>
      </c>
      <c r="AG37" s="22">
        <f t="shared" si="26"/>
        <v>-61.08279455175989</v>
      </c>
      <c r="AH37" s="22">
        <f t="shared" si="6"/>
        <v>-36.79679873297141</v>
      </c>
      <c r="AI37" s="22">
        <f t="shared" si="27"/>
        <v>151.12861503233063</v>
      </c>
      <c r="AJ37" s="22">
        <f t="shared" si="28"/>
        <v>212.76258155801682</v>
      </c>
    </row>
    <row r="38" spans="1:36" ht="15.75">
      <c r="A38" s="86">
        <v>32933</v>
      </c>
      <c r="B38" s="87">
        <f>'Prices and Spreads'!J$6/100*'Historic Prices'!D20-('Historic Prices'!B13/100*'Prices and Spreads'!J$4*(1+'Historic Prices'!L13/100*7/12))-'Historic Prices'!N20-'Historic Prices'!P20</f>
        <v>104.37523833315882</v>
      </c>
      <c r="C38" s="87">
        <f>'Prices and Spreads'!K$6/100*'Historic Prices'!D20-('Historic Prices'!C15/100*'Prices and Spreads'!K$4*(1+'Historic Prices'!L13/100*5/12))-'Historic Prices'!O20-'Historic Prices'!Q20</f>
        <v>128.97069175040792</v>
      </c>
      <c r="E38" s="86">
        <v>32933</v>
      </c>
      <c r="F38" s="84">
        <f t="shared" si="29"/>
        <v>104.37523833315882</v>
      </c>
      <c r="G38" s="84">
        <f t="shared" si="30"/>
        <v>128.97069175040792</v>
      </c>
      <c r="H38" t="s">
        <v>118</v>
      </c>
      <c r="I38" s="91">
        <f t="shared" si="7"/>
        <v>74.18524262310032</v>
      </c>
      <c r="J38" s="91">
        <f t="shared" si="8"/>
        <v>84.76666943288834</v>
      </c>
      <c r="K38" s="91">
        <f t="shared" si="9"/>
        <v>-103.14915672970591</v>
      </c>
      <c r="L38" s="91">
        <f t="shared" si="10"/>
        <v>-75.16445108213588</v>
      </c>
      <c r="M38" s="91">
        <f t="shared" si="11"/>
        <v>54.73738213907703</v>
      </c>
      <c r="N38" s="91">
        <f t="shared" si="12"/>
        <v>106.32498370827813</v>
      </c>
      <c r="O38" s="91">
        <f t="shared" si="13"/>
        <v>29.873517461608742</v>
      </c>
      <c r="P38" s="91">
        <f t="shared" si="14"/>
        <v>28.438002473141182</v>
      </c>
      <c r="Q38" s="22">
        <f t="shared" si="15"/>
        <v>-61.429196507971625</v>
      </c>
      <c r="R38" s="22">
        <f t="shared" si="16"/>
        <v>-29.182115339371876</v>
      </c>
      <c r="S38" s="22">
        <f t="shared" si="17"/>
        <v>-58.10979715912393</v>
      </c>
      <c r="T38" s="22">
        <f t="shared" si="18"/>
        <v>25.847742535176963</v>
      </c>
      <c r="U38" s="22">
        <f t="shared" si="19"/>
        <v>61.95999633484601</v>
      </c>
      <c r="V38" s="22">
        <f t="shared" si="1"/>
        <v>124.27538302484653</v>
      </c>
      <c r="W38" s="22">
        <f t="shared" si="20"/>
        <v>10.502562558151084</v>
      </c>
      <c r="X38" s="22">
        <f t="shared" si="2"/>
        <v>21.92978667977185</v>
      </c>
      <c r="Y38" s="22">
        <f t="shared" si="21"/>
        <v>-112.16302985774325</v>
      </c>
      <c r="Z38" s="22">
        <f t="shared" si="3"/>
        <v>-74.0308040535926</v>
      </c>
      <c r="AA38" s="22">
        <f t="shared" si="22"/>
        <v>26.30359481180173</v>
      </c>
      <c r="AB38" s="22">
        <f t="shared" si="4"/>
        <v>71.50472704219278</v>
      </c>
      <c r="AC38" s="22">
        <f t="shared" si="23"/>
        <v>-83.71450761442907</v>
      </c>
      <c r="AD38" s="22">
        <f t="shared" si="5"/>
        <v>-49.20707511975688</v>
      </c>
      <c r="AE38" s="22">
        <f t="shared" si="24"/>
        <v>-25.390959515483672</v>
      </c>
      <c r="AF38" s="22">
        <f t="shared" si="25"/>
        <v>-24.899840360323765</v>
      </c>
      <c r="AG38" s="22">
        <f t="shared" si="26"/>
        <v>-75.90430949037852</v>
      </c>
      <c r="AH38" s="22">
        <f t="shared" si="6"/>
        <v>-23.79040609146584</v>
      </c>
      <c r="AI38" s="22">
        <f t="shared" si="27"/>
        <v>258.95635925919294</v>
      </c>
      <c r="AJ38" s="22">
        <f t="shared" si="28"/>
        <v>307.7398171496732</v>
      </c>
    </row>
    <row r="39" spans="1:36" ht="15.75">
      <c r="A39" s="86">
        <v>32964</v>
      </c>
      <c r="B39" s="87">
        <f>'Prices and Spreads'!J$6/100*'Historic Prices'!D21-('Historic Prices'!B14/100*'Prices and Spreads'!J$4*(1+'Historic Prices'!L14/100*7/12))-'Historic Prices'!N21-'Historic Prices'!P21</f>
        <v>129.5965857830106</v>
      </c>
      <c r="C39" s="87">
        <f>'Prices and Spreads'!K$6/100*'Historic Prices'!D21-('Historic Prices'!C16/100*'Prices and Spreads'!K$4*(1+'Historic Prices'!L14/100*5/12))-'Historic Prices'!O21-'Historic Prices'!Q21</f>
        <v>124.35156175094691</v>
      </c>
      <c r="E39" s="86">
        <v>32964</v>
      </c>
      <c r="F39" s="84">
        <f t="shared" si="29"/>
        <v>129.5965857830106</v>
      </c>
      <c r="G39" s="84">
        <f t="shared" si="30"/>
        <v>124.35156175094691</v>
      </c>
      <c r="H39" t="s">
        <v>97</v>
      </c>
      <c r="I39" s="91">
        <f t="shared" si="7"/>
        <v>76.20993425460384</v>
      </c>
      <c r="J39" s="91">
        <f t="shared" si="8"/>
        <v>91.46048234529923</v>
      </c>
      <c r="K39" s="91">
        <f t="shared" si="9"/>
        <v>-98.92195445472487</v>
      </c>
      <c r="L39" s="91">
        <f t="shared" si="10"/>
        <v>-64.18000699161382</v>
      </c>
      <c r="M39" s="91">
        <f t="shared" si="11"/>
        <v>51.376117354976486</v>
      </c>
      <c r="N39" s="91">
        <f t="shared" si="12"/>
        <v>110.37465039347668</v>
      </c>
      <c r="O39" s="91">
        <f t="shared" si="13"/>
        <v>-20.49328751610426</v>
      </c>
      <c r="P39" s="91">
        <f t="shared" si="14"/>
        <v>-3.5589469043280246</v>
      </c>
      <c r="Q39" s="22">
        <f t="shared" si="15"/>
        <v>-69.64317816793644</v>
      </c>
      <c r="R39" s="22">
        <f t="shared" si="16"/>
        <v>25.010802904613243</v>
      </c>
      <c r="S39" s="22">
        <f t="shared" si="17"/>
        <v>-26.7353032930406</v>
      </c>
      <c r="T39" s="22">
        <f t="shared" si="18"/>
        <v>58.067199898679334</v>
      </c>
      <c r="U39" s="22">
        <f t="shared" si="19"/>
        <v>77.44299510153863</v>
      </c>
      <c r="V39" s="22">
        <f t="shared" si="1"/>
        <v>125.8009963267734</v>
      </c>
      <c r="W39" s="22">
        <f t="shared" si="20"/>
        <v>-10.693169313787791</v>
      </c>
      <c r="X39" s="22">
        <f t="shared" si="2"/>
        <v>9.774517300615301</v>
      </c>
      <c r="Y39" s="22">
        <f t="shared" si="21"/>
        <v>-95.00017423324496</v>
      </c>
      <c r="Z39" s="22">
        <f t="shared" si="3"/>
        <v>-37.27770715974697</v>
      </c>
      <c r="AA39" s="22">
        <f t="shared" si="22"/>
        <v>49.243868500109556</v>
      </c>
      <c r="AB39" s="22">
        <f t="shared" si="4"/>
        <v>120.41607889085925</v>
      </c>
      <c r="AC39" s="22">
        <f t="shared" si="23"/>
        <v>-61.642930218147</v>
      </c>
      <c r="AD39" s="22">
        <f t="shared" si="5"/>
        <v>-4.5254438762406295</v>
      </c>
      <c r="AE39" s="22">
        <f t="shared" si="24"/>
        <v>-84.1422120308288</v>
      </c>
      <c r="AF39" s="22">
        <f t="shared" si="25"/>
        <v>-51.33885644522975</v>
      </c>
      <c r="AG39" s="22">
        <f t="shared" si="26"/>
        <v>-84.27098287347167</v>
      </c>
      <c r="AH39" s="22">
        <f t="shared" si="6"/>
        <v>-15.146544063755996</v>
      </c>
      <c r="AI39" s="22">
        <f t="shared" si="27"/>
        <v>419.62202833535696</v>
      </c>
      <c r="AJ39" s="22">
        <f t="shared" si="28"/>
        <v>476.2714088503289</v>
      </c>
    </row>
    <row r="40" spans="1:36" ht="15.75">
      <c r="A40" s="86">
        <v>32994</v>
      </c>
      <c r="B40" s="87">
        <f>'Prices and Spreads'!J$6/100*'Historic Prices'!D22-('Historic Prices'!B15/100*'Prices and Spreads'!J$4*(1+'Historic Prices'!L15/100*7/12))-'Historic Prices'!N22-'Historic Prices'!P22</f>
        <v>108.5427934118166</v>
      </c>
      <c r="C40" s="87">
        <f>'Prices and Spreads'!K$6/100*'Historic Prices'!D22-('Historic Prices'!C17/100*'Prices and Spreads'!K$4*(1+'Historic Prices'!L15/100*5/12))-'Historic Prices'!O22-'Historic Prices'!Q22</f>
        <v>81.22239311842014</v>
      </c>
      <c r="E40" s="86">
        <v>32994</v>
      </c>
      <c r="F40" s="84">
        <f t="shared" si="29"/>
        <v>108.5427934118166</v>
      </c>
      <c r="G40" s="84">
        <f t="shared" si="30"/>
        <v>81.22239311842014</v>
      </c>
      <c r="H40" t="s">
        <v>98</v>
      </c>
      <c r="I40" s="91">
        <f t="shared" si="7"/>
        <v>91.51930413700848</v>
      </c>
      <c r="J40" s="91">
        <f t="shared" si="8"/>
        <v>102.30189525770983</v>
      </c>
      <c r="K40" s="91">
        <f t="shared" si="9"/>
        <v>-100.66324726863868</v>
      </c>
      <c r="L40" s="91">
        <f t="shared" si="10"/>
        <v>-65.96154635131205</v>
      </c>
      <c r="M40" s="91">
        <f t="shared" si="11"/>
        <v>70.70939797480082</v>
      </c>
      <c r="N40" s="91">
        <f t="shared" si="12"/>
        <v>98.39483230373007</v>
      </c>
      <c r="O40" s="91">
        <f t="shared" si="13"/>
        <v>-34.721520930383974</v>
      </c>
      <c r="P40" s="91">
        <f t="shared" si="14"/>
        <v>-16.818102982384545</v>
      </c>
      <c r="Q40" s="22">
        <f t="shared" si="15"/>
        <v>-26.04784089679518</v>
      </c>
      <c r="R40" s="22">
        <f t="shared" si="16"/>
        <v>67.50875543890093</v>
      </c>
      <c r="S40" s="22">
        <f t="shared" si="17"/>
        <v>4.144094691468041</v>
      </c>
      <c r="T40" s="22">
        <f t="shared" si="18"/>
        <v>63.04540407709926</v>
      </c>
      <c r="U40" s="22">
        <f t="shared" si="19"/>
        <v>123.56160017587166</v>
      </c>
      <c r="V40" s="22">
        <f t="shared" si="1"/>
        <v>120.7469954646709</v>
      </c>
      <c r="W40" s="22">
        <f t="shared" si="20"/>
        <v>-14.883884549170858</v>
      </c>
      <c r="X40" s="22">
        <f t="shared" si="2"/>
        <v>11.933965881873931</v>
      </c>
      <c r="Y40" s="22">
        <f t="shared" si="21"/>
        <v>-93.36246078277088</v>
      </c>
      <c r="Z40" s="22">
        <f t="shared" si="3"/>
        <v>-6.911905444065681</v>
      </c>
      <c r="AA40" s="22">
        <f t="shared" si="22"/>
        <v>59.702130917254834</v>
      </c>
      <c r="AB40" s="22">
        <f t="shared" si="4"/>
        <v>95.58973255532435</v>
      </c>
      <c r="AC40" s="22">
        <f t="shared" si="23"/>
        <v>-11.531639417825886</v>
      </c>
      <c r="AD40" s="22">
        <f t="shared" si="5"/>
        <v>39.904556684490345</v>
      </c>
      <c r="AE40" s="22">
        <f t="shared" si="24"/>
        <v>-123.75800255956761</v>
      </c>
      <c r="AF40" s="22">
        <f t="shared" si="25"/>
        <v>-104.35908528839096</v>
      </c>
      <c r="AG40" s="22">
        <f t="shared" si="26"/>
        <v>-10.745884156955071</v>
      </c>
      <c r="AH40" s="22">
        <f t="shared" si="6"/>
        <v>49.12004680711499</v>
      </c>
      <c r="AI40" s="22">
        <f t="shared" si="27"/>
        <v>424.3640959557482</v>
      </c>
      <c r="AJ40" s="22">
        <f t="shared" si="28"/>
        <v>454.72265015725867</v>
      </c>
    </row>
    <row r="41" spans="1:36" ht="15.75">
      <c r="A41" s="86">
        <v>33025</v>
      </c>
      <c r="B41" s="87">
        <f>'Prices and Spreads'!J$6/100*'Historic Prices'!D23-('Historic Prices'!B16/100*'Prices and Spreads'!J$4*(1+'Historic Prices'!L16/100*7/12))-'Historic Prices'!N23-'Historic Prices'!P23</f>
        <v>75.48953367388009</v>
      </c>
      <c r="C41" s="87">
        <f>'Prices and Spreads'!K$6/100*'Historic Prices'!D23-('Historic Prices'!C18/100*'Prices and Spreads'!K$4*(1+'Historic Prices'!L16/100*5/12))-'Historic Prices'!O23-'Historic Prices'!Q23</f>
        <v>66.61034292193963</v>
      </c>
      <c r="E41" s="86">
        <v>33025</v>
      </c>
      <c r="F41" s="84">
        <f t="shared" si="29"/>
        <v>75.48953367388009</v>
      </c>
      <c r="G41" s="84">
        <f t="shared" si="30"/>
        <v>66.61034292193963</v>
      </c>
      <c r="H41" t="s">
        <v>100</v>
      </c>
      <c r="I41" s="91">
        <f t="shared" si="7"/>
        <v>95.31121955637809</v>
      </c>
      <c r="J41" s="91">
        <f t="shared" si="8"/>
        <v>118.06553997929633</v>
      </c>
      <c r="K41" s="91">
        <f t="shared" si="9"/>
        <v>-95.10508205402505</v>
      </c>
      <c r="L41" s="91">
        <f t="shared" si="10"/>
        <v>-76.55580081812288</v>
      </c>
      <c r="M41" s="91">
        <f t="shared" si="11"/>
        <v>138.09152071962507</v>
      </c>
      <c r="N41" s="91">
        <f t="shared" si="12"/>
        <v>125.76652769743554</v>
      </c>
      <c r="O41" s="91">
        <f t="shared" si="13"/>
        <v>-27.099765667936424</v>
      </c>
      <c r="P41" s="91">
        <f t="shared" si="14"/>
        <v>-34.37757905550272</v>
      </c>
      <c r="Q41" s="22">
        <f t="shared" si="15"/>
        <v>25.233428599390493</v>
      </c>
      <c r="R41" s="22">
        <f t="shared" si="16"/>
        <v>39.13517453330566</v>
      </c>
      <c r="S41" s="22">
        <f t="shared" si="17"/>
        <v>18.607560439125933</v>
      </c>
      <c r="T41" s="22">
        <f t="shared" si="18"/>
        <v>52.42898660223807</v>
      </c>
      <c r="U41" s="22">
        <f t="shared" si="19"/>
        <v>91.68531220518395</v>
      </c>
      <c r="V41" s="22">
        <f t="shared" si="1"/>
        <v>84.46286746893759</v>
      </c>
      <c r="W41" s="22">
        <f t="shared" si="20"/>
        <v>-40.128681321031166</v>
      </c>
      <c r="X41" s="22">
        <f t="shared" si="2"/>
        <v>-35.06053000094913</v>
      </c>
      <c r="Y41" s="22">
        <f t="shared" si="21"/>
        <v>-104.27979622161638</v>
      </c>
      <c r="Z41" s="22">
        <f t="shared" si="3"/>
        <v>-5.665890950289636</v>
      </c>
      <c r="AA41" s="22">
        <f t="shared" si="22"/>
        <v>79.81506528227203</v>
      </c>
      <c r="AB41" s="22">
        <f t="shared" si="4"/>
        <v>85.95347250269631</v>
      </c>
      <c r="AC41" s="22">
        <f t="shared" si="23"/>
        <v>78.49008003809007</v>
      </c>
      <c r="AD41" s="22">
        <f t="shared" si="5"/>
        <v>48.99860124109266</v>
      </c>
      <c r="AE41" s="22">
        <f t="shared" si="24"/>
        <v>-94.22053451548342</v>
      </c>
      <c r="AF41" s="22">
        <f t="shared" si="25"/>
        <v>-104.01315451716529</v>
      </c>
      <c r="AG41" s="22">
        <f t="shared" si="26"/>
        <v>25.444027059561392</v>
      </c>
      <c r="AH41" s="22">
        <f t="shared" si="6"/>
        <v>58.46169520687846</v>
      </c>
      <c r="AI41" s="22">
        <f t="shared" si="27"/>
        <v>285.72503164222394</v>
      </c>
      <c r="AJ41" s="22">
        <f t="shared" si="28"/>
        <v>274.2668015565948</v>
      </c>
    </row>
    <row r="42" spans="1:36" ht="15.75">
      <c r="A42" s="86">
        <v>33055</v>
      </c>
      <c r="B42" s="87">
        <f>'Prices and Spreads'!J$6/100*'Historic Prices'!D24-('Historic Prices'!B17/100*'Prices and Spreads'!J$4*(1+'Historic Prices'!L17/100*7/12))-'Historic Prices'!N24-'Historic Prices'!P24</f>
        <v>73.85837496423167</v>
      </c>
      <c r="C42" s="87">
        <f>'Prices and Spreads'!K$6/100*'Historic Prices'!D24-('Historic Prices'!C19/100*'Prices and Spreads'!K$4*(1+'Historic Prices'!L17/100*5/12))-'Historic Prices'!O24-'Historic Prices'!Q24</f>
        <v>77.39982547668278</v>
      </c>
      <c r="E42" s="86">
        <v>33055</v>
      </c>
      <c r="F42" s="84">
        <f t="shared" si="29"/>
        <v>73.85837496423167</v>
      </c>
      <c r="G42" s="84">
        <f t="shared" si="30"/>
        <v>77.39982547668278</v>
      </c>
      <c r="H42" t="s">
        <v>85</v>
      </c>
      <c r="I42" s="91">
        <f>F48</f>
        <v>77.3329245539291</v>
      </c>
      <c r="J42" s="91">
        <f>G48</f>
        <v>80.82581044645015</v>
      </c>
      <c r="K42" s="91">
        <f t="shared" si="9"/>
        <v>-56.52551455750449</v>
      </c>
      <c r="L42" s="91">
        <f t="shared" si="10"/>
        <v>14.561044120670147</v>
      </c>
      <c r="M42" s="91">
        <f t="shared" si="11"/>
        <v>128.1085089355245</v>
      </c>
      <c r="N42" s="91">
        <f t="shared" si="12"/>
        <v>104.11942300684893</v>
      </c>
      <c r="O42" s="91">
        <f t="shared" si="13"/>
        <v>-38.34974428759247</v>
      </c>
      <c r="P42" s="91">
        <f t="shared" si="14"/>
        <v>-14.289368320812258</v>
      </c>
      <c r="Q42" s="22">
        <f t="shared" si="15"/>
        <v>93.71763812147441</v>
      </c>
      <c r="R42" s="22">
        <f t="shared" si="16"/>
        <v>93.99897137520762</v>
      </c>
      <c r="S42" s="22">
        <f t="shared" si="17"/>
        <v>-6.994703995209846</v>
      </c>
      <c r="T42" s="22">
        <f t="shared" si="18"/>
        <v>13.834460725205759</v>
      </c>
      <c r="U42" s="22">
        <f t="shared" si="19"/>
        <v>59.56124893357287</v>
      </c>
      <c r="V42" s="22">
        <f t="shared" si="1"/>
        <v>70.88075864848892</v>
      </c>
      <c r="W42" s="22">
        <f t="shared" si="20"/>
        <v>-36.97093177936449</v>
      </c>
      <c r="X42" s="22">
        <f t="shared" si="2"/>
        <v>-61.58198156816063</v>
      </c>
      <c r="Y42" s="22">
        <f t="shared" si="21"/>
        <v>-9.160809273726386</v>
      </c>
      <c r="Z42" s="22">
        <f t="shared" si="3"/>
        <v>38.55574455593417</v>
      </c>
      <c r="AA42" s="22">
        <f t="shared" si="22"/>
        <v>62.73355432405825</v>
      </c>
      <c r="AB42" s="22">
        <f t="shared" si="4"/>
        <v>70.9755656211228</v>
      </c>
      <c r="AC42" s="22">
        <f t="shared" si="23"/>
        <v>107.65887359556754</v>
      </c>
      <c r="AD42" s="22">
        <f t="shared" si="5"/>
        <v>122.96249788318951</v>
      </c>
      <c r="AE42" s="22">
        <f t="shared" si="24"/>
        <v>-68.50716028557363</v>
      </c>
      <c r="AF42" s="22">
        <f t="shared" si="25"/>
        <v>-56.755733202896536</v>
      </c>
      <c r="AG42" s="22">
        <f t="shared" si="26"/>
        <v>115.48926681821004</v>
      </c>
      <c r="AH42" s="22">
        <f t="shared" si="6"/>
        <v>131.60357196454518</v>
      </c>
      <c r="AI42" s="22">
        <f t="shared" si="27"/>
        <v>129.68240021035712</v>
      </c>
      <c r="AJ42" s="22">
        <f t="shared" si="28"/>
        <v>81.37875252052494</v>
      </c>
    </row>
    <row r="43" spans="1:36" ht="15.75">
      <c r="A43" s="86">
        <v>33086</v>
      </c>
      <c r="B43" s="87">
        <f>'Prices and Spreads'!J$6/100*'Historic Prices'!D25-('Historic Prices'!B18/100*'Prices and Spreads'!J$4*(1+'Historic Prices'!L18/100*7/12))-'Historic Prices'!N25-'Historic Prices'!P25</f>
        <v>75.43664899764985</v>
      </c>
      <c r="C43" s="87">
        <f>'Prices and Spreads'!K$6/100*'Historic Prices'!D25-('Historic Prices'!C20/100*'Prices and Spreads'!K$4*(1+'Historic Prices'!L18/100*5/12))-'Historic Prices'!O25-'Historic Prices'!Q25</f>
        <v>90.23771827491007</v>
      </c>
      <c r="E43" s="86">
        <v>33086</v>
      </c>
      <c r="F43" s="84">
        <f t="shared" si="29"/>
        <v>75.43664899764985</v>
      </c>
      <c r="G43" s="84">
        <f t="shared" si="30"/>
        <v>90.23771827491007</v>
      </c>
      <c r="H43" t="s">
        <v>87</v>
      </c>
      <c r="I43" s="91">
        <f t="shared" si="7"/>
        <v>100.59343263391267</v>
      </c>
      <c r="J43" s="91">
        <f t="shared" si="8"/>
        <v>93.76999831923426</v>
      </c>
      <c r="K43" s="91">
        <f t="shared" si="9"/>
        <v>13.935435570366508</v>
      </c>
      <c r="L43" s="91">
        <f t="shared" si="10"/>
        <v>78.85826964400653</v>
      </c>
      <c r="M43" s="91">
        <f t="shared" si="11"/>
        <v>150.36027569969878</v>
      </c>
      <c r="N43" s="91">
        <f t="shared" si="12"/>
        <v>156.87470575818145</v>
      </c>
      <c r="O43" s="91">
        <f t="shared" si="13"/>
        <v>-17.835783433317516</v>
      </c>
      <c r="P43" s="91">
        <f t="shared" si="14"/>
        <v>-4.292405337603441</v>
      </c>
      <c r="Q43" s="22">
        <f t="shared" si="15"/>
        <v>81.306349686192</v>
      </c>
      <c r="R43" s="22">
        <f t="shared" si="16"/>
        <v>126.12190358964571</v>
      </c>
      <c r="S43" s="22">
        <f t="shared" si="17"/>
        <v>-0.6913544312508861</v>
      </c>
      <c r="T43" s="22">
        <f t="shared" si="18"/>
        <v>-6.8119276679479555</v>
      </c>
      <c r="U43" s="22">
        <f t="shared" si="19"/>
        <v>78.79601876876453</v>
      </c>
      <c r="V43" s="22">
        <f t="shared" si="1"/>
        <v>74.95268207950134</v>
      </c>
      <c r="W43" s="22">
        <f t="shared" si="20"/>
        <v>-93.54360623421675</v>
      </c>
      <c r="X43" s="22">
        <f t="shared" si="2"/>
        <v>-92.86406452441943</v>
      </c>
      <c r="Y43" s="22">
        <f t="shared" si="21"/>
        <v>26.2965992835519</v>
      </c>
      <c r="Z43" s="22">
        <f t="shared" si="3"/>
        <v>35.27804284025295</v>
      </c>
      <c r="AA43" s="22">
        <f t="shared" si="22"/>
        <v>46.20195929231474</v>
      </c>
      <c r="AB43" s="22">
        <f t="shared" si="4"/>
        <v>43.19722916718494</v>
      </c>
      <c r="AC43" s="22">
        <f t="shared" si="23"/>
        <v>78.4994007258679</v>
      </c>
      <c r="AD43" s="22">
        <f t="shared" si="5"/>
        <v>147.83116519686706</v>
      </c>
      <c r="AE43" s="22">
        <f t="shared" si="24"/>
        <v>-4.800182385183177</v>
      </c>
      <c r="AF43" s="22">
        <f t="shared" si="25"/>
        <v>-17.108422945821147</v>
      </c>
      <c r="AG43" s="22">
        <f t="shared" si="26"/>
        <v>128.23682236229408</v>
      </c>
      <c r="AH43" s="22">
        <f t="shared" si="6"/>
        <v>125.83829359367401</v>
      </c>
      <c r="AI43" s="22">
        <f t="shared" si="27"/>
        <v>85.16460747725597</v>
      </c>
      <c r="AJ43" s="22">
        <f t="shared" si="28"/>
        <v>-7.262042609294852</v>
      </c>
    </row>
    <row r="44" spans="1:36" ht="15.75">
      <c r="A44" s="86">
        <v>33117</v>
      </c>
      <c r="B44" s="87">
        <f>'Prices and Spreads'!J$6/100*'Historic Prices'!D26-('Historic Prices'!B19/100*'Prices and Spreads'!J$4*(1+'Historic Prices'!L19/100*7/12))-'Historic Prices'!N26-'Historic Prices'!P26</f>
        <v>74.18524262310032</v>
      </c>
      <c r="C44" s="87">
        <f>'Prices and Spreads'!K$6/100*'Historic Prices'!D26-('Historic Prices'!C21/100*'Prices and Spreads'!K$4*(1+'Historic Prices'!L19/100*5/12))-'Historic Prices'!O26-'Historic Prices'!Q26</f>
        <v>84.76666943288834</v>
      </c>
      <c r="E44" s="86">
        <v>33117</v>
      </c>
      <c r="F44" s="84">
        <f t="shared" si="29"/>
        <v>74.18524262310032</v>
      </c>
      <c r="G44" s="84">
        <f t="shared" si="30"/>
        <v>84.76666943288834</v>
      </c>
      <c r="H44" t="s">
        <v>89</v>
      </c>
      <c r="I44" s="91">
        <f t="shared" si="7"/>
        <v>83.84407387876053</v>
      </c>
      <c r="J44" s="91">
        <f t="shared" si="8"/>
        <v>103.4062869375855</v>
      </c>
      <c r="K44" s="91">
        <f t="shared" si="9"/>
        <v>58.26308430818881</v>
      </c>
      <c r="L44" s="91">
        <f t="shared" si="10"/>
        <v>84.42727616048168</v>
      </c>
      <c r="M44" s="91">
        <f t="shared" si="11"/>
        <v>181.52901076532632</v>
      </c>
      <c r="N44" s="91">
        <f t="shared" si="12"/>
        <v>201.03052521051433</v>
      </c>
      <c r="O44" s="91">
        <f t="shared" si="13"/>
        <v>22.896571746785526</v>
      </c>
      <c r="P44" s="91">
        <f t="shared" si="14"/>
        <v>38.432135713290805</v>
      </c>
      <c r="Q44" s="22">
        <f t="shared" si="15"/>
        <v>46.8547969005391</v>
      </c>
      <c r="R44" s="22">
        <f t="shared" si="16"/>
        <v>94.38257158311113</v>
      </c>
      <c r="S44" s="22">
        <f t="shared" si="17"/>
        <v>-17.732094518920377</v>
      </c>
      <c r="T44" s="22">
        <f t="shared" si="18"/>
        <v>-27.79703187119064</v>
      </c>
      <c r="U44" s="22">
        <f t="shared" si="19"/>
        <v>104.5266700882404</v>
      </c>
      <c r="V44" s="22">
        <f t="shared" si="1"/>
        <v>112.20678648035454</v>
      </c>
      <c r="W44" s="22">
        <f t="shared" si="20"/>
        <v>-103.93094324028198</v>
      </c>
      <c r="X44" s="22">
        <f t="shared" si="2"/>
        <v>-71.93234676659598</v>
      </c>
      <c r="Y44" s="22">
        <f t="shared" si="21"/>
        <v>64.74456216422212</v>
      </c>
      <c r="Z44" s="22">
        <f t="shared" si="3"/>
        <v>45.422341412088755</v>
      </c>
      <c r="AA44" s="22">
        <f t="shared" si="22"/>
        <v>99.3376693960324</v>
      </c>
      <c r="AB44" s="22">
        <f t="shared" si="4"/>
        <v>77.16503827904549</v>
      </c>
      <c r="AC44" s="22">
        <f t="shared" si="23"/>
        <v>138.17272115694897</v>
      </c>
      <c r="AD44" s="22">
        <f t="shared" si="5"/>
        <v>148.07934148224354</v>
      </c>
      <c r="AE44" s="22">
        <f t="shared" si="24"/>
        <v>39.499073928990896</v>
      </c>
      <c r="AF44" s="22">
        <f t="shared" si="25"/>
        <v>32.34083651113575</v>
      </c>
      <c r="AG44" s="22">
        <f t="shared" si="26"/>
        <v>131.43248247529723</v>
      </c>
      <c r="AH44" s="22">
        <f t="shared" si="6"/>
        <v>120.02023557952346</v>
      </c>
      <c r="AI44" s="22">
        <f t="shared" si="27"/>
        <v>164.961474207097</v>
      </c>
      <c r="AJ44" s="22">
        <f t="shared" si="28"/>
        <v>48.88240228731517</v>
      </c>
    </row>
    <row r="45" spans="1:36" ht="15.75">
      <c r="A45" s="86">
        <v>33147</v>
      </c>
      <c r="B45" s="87">
        <f>'Prices and Spreads'!J$6/100*'Historic Prices'!D27-('Historic Prices'!B20/100*'Prices and Spreads'!J$4*(1+'Historic Prices'!L20/100*7/12))-'Historic Prices'!N27-'Historic Prices'!P27</f>
        <v>76.20993425460384</v>
      </c>
      <c r="C45" s="87">
        <f>'Prices and Spreads'!K$6/100*'Historic Prices'!D27-('Historic Prices'!C22/100*'Prices and Spreads'!K$4*(1+'Historic Prices'!L20/100*5/12))-'Historic Prices'!O27-'Historic Prices'!Q27</f>
        <v>91.46048234529923</v>
      </c>
      <c r="E45" s="86">
        <v>33147</v>
      </c>
      <c r="F45" s="84">
        <f t="shared" si="29"/>
        <v>76.20993425460384</v>
      </c>
      <c r="G45" s="84">
        <f t="shared" si="30"/>
        <v>91.46048234529923</v>
      </c>
      <c r="H45" t="s">
        <v>90</v>
      </c>
      <c r="I45" s="91">
        <f t="shared" si="7"/>
        <v>103.81700195513986</v>
      </c>
      <c r="J45" s="91">
        <f t="shared" si="8"/>
        <v>81.57507820505046</v>
      </c>
      <c r="K45" s="91">
        <f t="shared" si="9"/>
        <v>62.53621768070562</v>
      </c>
      <c r="L45" s="91">
        <f t="shared" si="10"/>
        <v>85.98878051145162</v>
      </c>
      <c r="M45" s="91">
        <f t="shared" si="11"/>
        <v>177.12086916126046</v>
      </c>
      <c r="N45" s="91">
        <f t="shared" si="12"/>
        <v>176.7392860158491</v>
      </c>
      <c r="O45" s="91">
        <f t="shared" si="13"/>
        <v>24.698551598095264</v>
      </c>
      <c r="P45" s="91">
        <f t="shared" si="14"/>
        <v>34.607578402519394</v>
      </c>
      <c r="Q45" s="22">
        <f t="shared" si="15"/>
        <v>50.749650456189954</v>
      </c>
      <c r="R45" s="22">
        <f t="shared" si="16"/>
        <v>30.129225222916332</v>
      </c>
      <c r="S45" s="22">
        <f t="shared" si="17"/>
        <v>-53.30850909017141</v>
      </c>
      <c r="T45" s="22">
        <f t="shared" si="18"/>
        <v>-94.14552171080383</v>
      </c>
      <c r="U45" s="22">
        <f t="shared" si="19"/>
        <v>116.19338388569574</v>
      </c>
      <c r="V45" s="22">
        <f t="shared" si="1"/>
        <v>88.9670861973121</v>
      </c>
      <c r="W45" s="22">
        <f t="shared" si="20"/>
        <v>-59.42423603065669</v>
      </c>
      <c r="X45" s="22">
        <f t="shared" si="2"/>
        <v>-42.397413096255306</v>
      </c>
      <c r="Y45" s="22">
        <f t="shared" si="21"/>
        <v>89.0112983864799</v>
      </c>
      <c r="Z45" s="22">
        <f t="shared" si="3"/>
        <v>82.23124424957139</v>
      </c>
      <c r="AA45" s="22">
        <f t="shared" si="22"/>
        <v>115.57831074975041</v>
      </c>
      <c r="AB45" s="22">
        <f t="shared" si="4"/>
        <v>74.15923393695269</v>
      </c>
      <c r="AC45" s="22">
        <f t="shared" si="23"/>
        <v>137.146845130162</v>
      </c>
      <c r="AD45" s="22">
        <f t="shared" si="5"/>
        <v>82.88135766797451</v>
      </c>
      <c r="AE45" s="22">
        <f t="shared" si="24"/>
        <v>-12.65056357100903</v>
      </c>
      <c r="AF45" s="22">
        <f t="shared" si="25"/>
        <v>13.80121151113579</v>
      </c>
      <c r="AG45" s="22">
        <f t="shared" si="26"/>
        <v>166.75277718790974</v>
      </c>
      <c r="AH45" s="22">
        <f t="shared" si="6"/>
        <v>132.60013622221155</v>
      </c>
      <c r="AI45" s="22">
        <f t="shared" si="27"/>
        <v>163.16808847706852</v>
      </c>
      <c r="AJ45" s="22">
        <f t="shared" si="28"/>
        <v>62.04026486447208</v>
      </c>
    </row>
    <row r="46" spans="1:36" ht="15.75">
      <c r="A46" s="86">
        <v>33178</v>
      </c>
      <c r="B46" s="87">
        <f>'Prices and Spreads'!J$6/100*'Historic Prices'!D28-('Historic Prices'!B21/100*'Prices and Spreads'!J$4*(1+'Historic Prices'!L21/100*7/12))-'Historic Prices'!N28-'Historic Prices'!P28</f>
        <v>91.51930413700848</v>
      </c>
      <c r="C46" s="87">
        <f>'Prices and Spreads'!K$6/100*'Historic Prices'!D28-('Historic Prices'!C23/100*'Prices and Spreads'!K$4*(1+'Historic Prices'!L21/100*5/12))-'Historic Prices'!O28-'Historic Prices'!Q28</f>
        <v>102.30189525770983</v>
      </c>
      <c r="E46" s="86">
        <v>33178</v>
      </c>
      <c r="F46" s="84">
        <f t="shared" si="29"/>
        <v>91.51930413700848</v>
      </c>
      <c r="G46" s="84">
        <f t="shared" si="30"/>
        <v>102.30189525770983</v>
      </c>
      <c r="H46" t="s">
        <v>92</v>
      </c>
      <c r="I46" s="91">
        <f t="shared" si="7"/>
        <v>90.90254392242562</v>
      </c>
      <c r="J46" s="91">
        <f t="shared" si="8"/>
        <v>39.835946376061344</v>
      </c>
      <c r="K46" s="91">
        <f t="shared" si="9"/>
        <v>54.964714748288145</v>
      </c>
      <c r="L46" s="91">
        <f t="shared" si="10"/>
        <v>91.21801448490939</v>
      </c>
      <c r="M46" s="91">
        <f t="shared" si="11"/>
        <v>188.11820612746928</v>
      </c>
      <c r="N46" s="91">
        <f t="shared" si="12"/>
        <v>144.71357070651658</v>
      </c>
      <c r="O46" s="91">
        <f t="shared" si="13"/>
        <v>-40.54499256362931</v>
      </c>
      <c r="P46" s="91">
        <f t="shared" si="14"/>
        <v>-62.097211034733775</v>
      </c>
      <c r="Q46" s="22">
        <f t="shared" si="15"/>
        <v>6.562647287864024</v>
      </c>
      <c r="R46" s="22">
        <f t="shared" si="16"/>
        <v>-23.51595642250271</v>
      </c>
      <c r="S46" s="22">
        <f t="shared" si="17"/>
        <v>-46.0863078404177</v>
      </c>
      <c r="T46" s="22">
        <f t="shared" si="18"/>
        <v>-107.86320634024996</v>
      </c>
      <c r="U46" s="22">
        <f t="shared" si="19"/>
        <v>123.75472061201842</v>
      </c>
      <c r="V46" s="22">
        <f t="shared" si="1"/>
        <v>83.5354393864276</v>
      </c>
      <c r="W46" s="22">
        <f t="shared" si="20"/>
        <v>-35.45498175897964</v>
      </c>
      <c r="X46" s="22">
        <f t="shared" si="2"/>
        <v>-47.07010840404379</v>
      </c>
      <c r="Y46" s="22">
        <f t="shared" si="21"/>
        <v>60.49686985306758</v>
      </c>
      <c r="Z46" s="22">
        <f t="shared" si="3"/>
        <v>48.20519339644217</v>
      </c>
      <c r="AA46" s="22">
        <f t="shared" si="22"/>
        <v>109.50933706144264</v>
      </c>
      <c r="AB46" s="22">
        <f t="shared" si="4"/>
        <v>13.001421897495348</v>
      </c>
      <c r="AC46" s="22">
        <f t="shared" si="23"/>
        <v>129.92835775851032</v>
      </c>
      <c r="AD46" s="22">
        <f t="shared" si="5"/>
        <v>59.96282256832916</v>
      </c>
      <c r="AE46" s="22">
        <f t="shared" si="24"/>
        <v>4.030064329381304</v>
      </c>
      <c r="AF46" s="22">
        <f t="shared" si="25"/>
        <v>-24.114439131552402</v>
      </c>
      <c r="AG46" s="22">
        <f t="shared" si="26"/>
        <v>163.91987693121314</v>
      </c>
      <c r="AH46" s="22">
        <f t="shared" si="6"/>
        <v>115.02482869331911</v>
      </c>
      <c r="AI46" s="22">
        <f t="shared" si="27"/>
        <v>152.9572626441535</v>
      </c>
      <c r="AJ46" s="22">
        <f t="shared" si="28"/>
        <v>90.251093838121</v>
      </c>
    </row>
    <row r="47" spans="1:36" ht="15.75">
      <c r="A47" s="86">
        <v>33208</v>
      </c>
      <c r="B47" s="87">
        <f>'Prices and Spreads'!J$6/100*'Historic Prices'!D29-('Historic Prices'!B22/100*'Prices and Spreads'!J$4*(1+'Historic Prices'!L22/100*7/12))-'Historic Prices'!N29-'Historic Prices'!P29</f>
        <v>95.31121955637809</v>
      </c>
      <c r="C47" s="87">
        <f>'Prices and Spreads'!K$6/100*'Historic Prices'!D29-('Historic Prices'!C24/100*'Prices and Spreads'!K$4*(1+'Historic Prices'!L22/100*5/12))-'Historic Prices'!O29-'Historic Prices'!Q29</f>
        <v>118.06553997929633</v>
      </c>
      <c r="E47" s="86">
        <v>33208</v>
      </c>
      <c r="F47" s="84">
        <f t="shared" si="29"/>
        <v>95.31121955637809</v>
      </c>
      <c r="G47" s="84">
        <f t="shared" si="30"/>
        <v>118.06553997929633</v>
      </c>
      <c r="H47" t="s">
        <v>94</v>
      </c>
      <c r="I47" s="91">
        <f t="shared" si="7"/>
        <v>9.790238603647225</v>
      </c>
      <c r="J47" s="91">
        <f t="shared" si="8"/>
        <v>9.432218951131233</v>
      </c>
      <c r="K47" s="91">
        <f t="shared" si="9"/>
        <v>54.96437330691367</v>
      </c>
      <c r="L47" s="91">
        <f t="shared" si="10"/>
        <v>81.40023258774383</v>
      </c>
      <c r="M47" s="91">
        <f t="shared" si="11"/>
        <v>125.14332232025325</v>
      </c>
      <c r="N47" s="91">
        <f t="shared" si="12"/>
        <v>89.17607937918326</v>
      </c>
      <c r="O47" s="91">
        <f t="shared" si="13"/>
        <v>-87.27512159324999</v>
      </c>
      <c r="P47" s="91">
        <f t="shared" si="14"/>
        <v>-103.93081078078296</v>
      </c>
      <c r="Q47" s="22">
        <f t="shared" si="15"/>
        <v>-21.569064823188285</v>
      </c>
      <c r="R47" s="22">
        <f t="shared" si="16"/>
        <v>-28.22904048487335</v>
      </c>
      <c r="S47" s="22">
        <f t="shared" si="17"/>
        <v>-29.429271383171624</v>
      </c>
      <c r="T47" s="22">
        <f t="shared" si="18"/>
        <v>-28.17645197476962</v>
      </c>
      <c r="U47" s="22">
        <f t="shared" si="19"/>
        <v>59.22737411501683</v>
      </c>
      <c r="V47" s="22">
        <f t="shared" si="1"/>
        <v>13.801652675764402</v>
      </c>
      <c r="W47" s="22">
        <f t="shared" si="20"/>
        <v>-48.047321453890476</v>
      </c>
      <c r="X47" s="22">
        <f t="shared" si="2"/>
        <v>-38.83988807740991</v>
      </c>
      <c r="Y47" s="22">
        <f t="shared" si="21"/>
        <v>50.91855911738705</v>
      </c>
      <c r="Z47" s="22">
        <f t="shared" si="3"/>
        <v>46.42146740426564</v>
      </c>
      <c r="AA47" s="22">
        <f t="shared" si="22"/>
        <v>44.567672123733246</v>
      </c>
      <c r="AB47" s="22">
        <f t="shared" si="4"/>
        <v>1.447877377758985</v>
      </c>
      <c r="AC47" s="22">
        <f t="shared" si="23"/>
        <v>94.80195221442631</v>
      </c>
      <c r="AD47" s="22">
        <f t="shared" si="5"/>
        <v>80.8893544545335</v>
      </c>
      <c r="AE47" s="22">
        <f t="shared" si="24"/>
        <v>-33.734745270228274</v>
      </c>
      <c r="AF47" s="22">
        <f t="shared" si="25"/>
        <v>-27.98020531728349</v>
      </c>
      <c r="AG47" s="22">
        <f t="shared" si="26"/>
        <v>93.27439851742935</v>
      </c>
      <c r="AH47" s="22">
        <f t="shared" si="6"/>
        <v>99.23312116500185</v>
      </c>
      <c r="AI47" s="22">
        <f t="shared" si="27"/>
        <v>148.69776491788446</v>
      </c>
      <c r="AJ47" s="22">
        <f t="shared" si="28"/>
        <v>230.03091804091036</v>
      </c>
    </row>
    <row r="48" spans="1:36" ht="15.75">
      <c r="A48" s="86">
        <v>33239</v>
      </c>
      <c r="B48" s="87">
        <f>'Prices and Spreads'!J$6/100*'Historic Prices'!D30-('Historic Prices'!B23/100*'Prices and Spreads'!J$4*(1+'Historic Prices'!L23/100*7/12))-'Historic Prices'!N30-'Historic Prices'!P30</f>
        <v>77.3329245539291</v>
      </c>
      <c r="C48" s="87">
        <f>'Prices and Spreads'!K$6/100*'Historic Prices'!D30-('Historic Prices'!C25/100*'Prices and Spreads'!K$4*(1+'Historic Prices'!L23/100*5/12))-'Historic Prices'!O30-'Historic Prices'!Q30</f>
        <v>80.82581044645015</v>
      </c>
      <c r="E48" s="86">
        <v>33239</v>
      </c>
      <c r="F48" s="84">
        <f t="shared" si="29"/>
        <v>77.3329245539291</v>
      </c>
      <c r="G48" s="84">
        <f t="shared" si="30"/>
        <v>80.82581044645015</v>
      </c>
      <c r="H48" t="s">
        <v>116</v>
      </c>
      <c r="I48" s="91">
        <f t="shared" si="7"/>
        <v>-30.606450688469863</v>
      </c>
      <c r="J48" s="91">
        <f t="shared" si="8"/>
        <v>-22.894587631018112</v>
      </c>
      <c r="K48" s="91">
        <f t="shared" si="9"/>
        <v>62.538588192581926</v>
      </c>
      <c r="L48" s="91">
        <f t="shared" si="10"/>
        <v>64.03094495284847</v>
      </c>
      <c r="M48" s="91">
        <f t="shared" si="11"/>
        <v>87.6611480418467</v>
      </c>
      <c r="N48" s="91">
        <f t="shared" si="12"/>
        <v>60.24632022318454</v>
      </c>
      <c r="O48" s="91">
        <f t="shared" si="13"/>
        <v>-64.21106928993913</v>
      </c>
      <c r="P48" s="91">
        <f t="shared" si="14"/>
        <v>-55.48488982723245</v>
      </c>
      <c r="Q48" s="22">
        <f t="shared" si="15"/>
        <v>-48.45852444210723</v>
      </c>
      <c r="R48" s="22">
        <f t="shared" si="16"/>
        <v>-24.14167552189832</v>
      </c>
      <c r="S48" s="22">
        <f t="shared" si="17"/>
        <v>-17.913829973762745</v>
      </c>
      <c r="T48" s="22">
        <f t="shared" si="18"/>
        <v>9.176931600538992</v>
      </c>
      <c r="U48" s="22">
        <f t="shared" si="19"/>
        <v>47.20567360832359</v>
      </c>
      <c r="V48" s="22">
        <f t="shared" si="1"/>
        <v>12.003837191564557</v>
      </c>
      <c r="W48" s="22">
        <f t="shared" si="20"/>
        <v>-98.7382840641757</v>
      </c>
      <c r="X48" s="22">
        <f t="shared" si="2"/>
        <v>-62.264323713258335</v>
      </c>
      <c r="Y48" s="22">
        <f t="shared" si="21"/>
        <v>31.22813845588871</v>
      </c>
      <c r="Z48" s="22">
        <f t="shared" si="3"/>
        <v>24.199006765906205</v>
      </c>
      <c r="AA48" s="22">
        <f t="shared" si="22"/>
        <v>-17.558269188557404</v>
      </c>
      <c r="AB48" s="22">
        <f t="shared" si="4"/>
        <v>-12.026837122256879</v>
      </c>
      <c r="AC48" s="22">
        <f t="shared" si="23"/>
        <v>58.740674442384574</v>
      </c>
      <c r="AD48" s="22">
        <f t="shared" si="5"/>
        <v>44.78832881184549</v>
      </c>
      <c r="AE48" s="22">
        <f t="shared" si="24"/>
        <v>-78.74912078362175</v>
      </c>
      <c r="AF48" s="22">
        <f t="shared" si="25"/>
        <v>-55.61110771763835</v>
      </c>
      <c r="AG48" s="22">
        <f t="shared" si="26"/>
        <v>100.56674915917094</v>
      </c>
      <c r="AH48" s="22">
        <f t="shared" si="6"/>
        <v>144.0508687955327</v>
      </c>
      <c r="AI48" s="22">
        <f t="shared" si="27"/>
        <v>85.44189738842687</v>
      </c>
      <c r="AJ48" s="22">
        <f t="shared" si="28"/>
        <v>158.45457281797255</v>
      </c>
    </row>
    <row r="49" spans="1:36" ht="15.75">
      <c r="A49" s="86">
        <v>33270</v>
      </c>
      <c r="B49" s="87">
        <f>'Prices and Spreads'!J$6/100*'Historic Prices'!D31-('Historic Prices'!B24/100*'Prices and Spreads'!J$4*(1+'Historic Prices'!L24/100*7/12))-'Historic Prices'!N31-'Historic Prices'!P31</f>
        <v>100.59343263391267</v>
      </c>
      <c r="C49" s="87">
        <f>'Prices and Spreads'!K$6/100*'Historic Prices'!D31-('Historic Prices'!C26/100*'Prices and Spreads'!K$4*(1+'Historic Prices'!L24/100*5/12))-'Historic Prices'!O31-'Historic Prices'!Q31</f>
        <v>93.76999831923426</v>
      </c>
      <c r="E49" s="86">
        <v>33270</v>
      </c>
      <c r="F49" s="84">
        <f t="shared" si="29"/>
        <v>100.59343263391267</v>
      </c>
      <c r="G49" s="84">
        <f t="shared" si="30"/>
        <v>93.76999831923426</v>
      </c>
      <c r="H49" t="s">
        <v>117</v>
      </c>
      <c r="I49" s="91">
        <f t="shared" si="7"/>
        <v>-91.53515706862515</v>
      </c>
      <c r="J49" s="91">
        <f t="shared" si="8"/>
        <v>-79.44476194452876</v>
      </c>
      <c r="K49" s="91">
        <f t="shared" si="9"/>
        <v>74.81562685292741</v>
      </c>
      <c r="L49" s="91">
        <f t="shared" si="10"/>
        <v>90.2877174881018</v>
      </c>
      <c r="M49" s="91">
        <f t="shared" si="11"/>
        <v>54.96588602649882</v>
      </c>
      <c r="N49" s="91">
        <f t="shared" si="12"/>
        <v>56.5871835951006</v>
      </c>
      <c r="O49" s="91">
        <f t="shared" si="13"/>
        <v>-34.1245179730071</v>
      </c>
      <c r="P49" s="91">
        <f t="shared" si="14"/>
        <v>-27.131046998681953</v>
      </c>
      <c r="Q49" s="22">
        <f t="shared" si="15"/>
        <v>-60.618601252786675</v>
      </c>
      <c r="R49" s="22">
        <f t="shared" si="16"/>
        <v>-8.831728912051588</v>
      </c>
      <c r="S49" s="22">
        <f t="shared" si="17"/>
        <v>22.242164542488553</v>
      </c>
      <c r="T49" s="22">
        <f t="shared" si="18"/>
        <v>47.91909401770735</v>
      </c>
      <c r="U49" s="22">
        <f t="shared" si="19"/>
        <v>40.28806727196442</v>
      </c>
      <c r="V49" s="22">
        <f t="shared" si="1"/>
        <v>42.86397260066923</v>
      </c>
      <c r="W49" s="22">
        <f t="shared" si="20"/>
        <v>-70.5994299014921</v>
      </c>
      <c r="X49" s="22">
        <f t="shared" si="2"/>
        <v>-30.209716581860803</v>
      </c>
      <c r="Y49" s="22">
        <f t="shared" si="21"/>
        <v>28.0389527049918</v>
      </c>
      <c r="Z49" s="22">
        <f t="shared" si="3"/>
        <v>54.763127410626964</v>
      </c>
      <c r="AA49" s="22">
        <f t="shared" si="22"/>
        <v>-58.32392045882224</v>
      </c>
      <c r="AB49" s="22">
        <f t="shared" si="4"/>
        <v>-33.340404161752915</v>
      </c>
      <c r="AC49" s="22">
        <f t="shared" si="23"/>
        <v>21.978843384906753</v>
      </c>
      <c r="AD49" s="22">
        <f t="shared" si="5"/>
        <v>30.2363634262324</v>
      </c>
      <c r="AE49" s="22">
        <f t="shared" si="24"/>
        <v>-61.08279455175989</v>
      </c>
      <c r="AF49" s="22">
        <f t="shared" si="25"/>
        <v>-36.79679873297141</v>
      </c>
      <c r="AG49" s="22">
        <f t="shared" si="26"/>
        <v>151.12861503233063</v>
      </c>
      <c r="AH49" s="22">
        <f t="shared" si="6"/>
        <v>212.76258155801682</v>
      </c>
      <c r="AI49" s="22">
        <f t="shared" si="27"/>
        <v>110.60926842241227</v>
      </c>
      <c r="AJ49" s="22">
        <f t="shared" si="28"/>
        <v>125.13579705888607</v>
      </c>
    </row>
    <row r="50" spans="1:36" ht="15.75">
      <c r="A50" s="86">
        <v>33298</v>
      </c>
      <c r="B50" s="87">
        <f>'Prices and Spreads'!J$6/100*'Historic Prices'!D32-('Historic Prices'!B25/100*'Prices and Spreads'!J$4*(1+'Historic Prices'!L25/100*7/12))-'Historic Prices'!N32-'Historic Prices'!P32</f>
        <v>83.84407387876053</v>
      </c>
      <c r="C50" s="87">
        <f>'Prices and Spreads'!K$6/100*'Historic Prices'!D32-('Historic Prices'!C27/100*'Prices and Spreads'!K$4*(1+'Historic Prices'!L25/100*5/12))-'Historic Prices'!O32-'Historic Prices'!Q32</f>
        <v>103.4062869375855</v>
      </c>
      <c r="E50" s="86">
        <v>33298</v>
      </c>
      <c r="F50" s="84">
        <f t="shared" si="29"/>
        <v>83.84407387876053</v>
      </c>
      <c r="G50" s="84">
        <f t="shared" si="30"/>
        <v>103.4062869375855</v>
      </c>
      <c r="H50" t="s">
        <v>118</v>
      </c>
      <c r="I50" s="91">
        <f t="shared" si="7"/>
        <v>-103.14915672970591</v>
      </c>
      <c r="J50" s="91">
        <f t="shared" si="8"/>
        <v>-75.16445108213588</v>
      </c>
      <c r="K50" s="91">
        <f t="shared" si="9"/>
        <v>54.73738213907703</v>
      </c>
      <c r="L50" s="91">
        <f t="shared" si="10"/>
        <v>106.32498370827813</v>
      </c>
      <c r="M50" s="91">
        <f t="shared" si="11"/>
        <v>29.873517461608742</v>
      </c>
      <c r="N50" s="91">
        <f t="shared" si="12"/>
        <v>28.438002473141182</v>
      </c>
      <c r="O50" s="91">
        <f t="shared" si="13"/>
        <v>-61.429196507971625</v>
      </c>
      <c r="P50" s="91">
        <f t="shared" si="14"/>
        <v>-29.182115339371876</v>
      </c>
      <c r="Q50" s="22">
        <f t="shared" si="15"/>
        <v>-58.10979715912393</v>
      </c>
      <c r="R50" s="22">
        <f t="shared" si="16"/>
        <v>25.847742535176963</v>
      </c>
      <c r="S50" s="22">
        <f t="shared" si="17"/>
        <v>61.95999633484601</v>
      </c>
      <c r="T50" s="22">
        <f t="shared" si="18"/>
        <v>124.27538302484653</v>
      </c>
      <c r="U50" s="22">
        <f t="shared" si="19"/>
        <v>10.502562558151084</v>
      </c>
      <c r="V50" s="22">
        <f t="shared" si="1"/>
        <v>21.92978667977185</v>
      </c>
      <c r="W50" s="22">
        <f t="shared" si="20"/>
        <v>-112.16302985774325</v>
      </c>
      <c r="X50" s="22">
        <f t="shared" si="2"/>
        <v>-74.0308040535926</v>
      </c>
      <c r="Y50" s="22">
        <f t="shared" si="21"/>
        <v>26.30359481180173</v>
      </c>
      <c r="Z50" s="22">
        <f t="shared" si="3"/>
        <v>71.50472704219278</v>
      </c>
      <c r="AA50" s="22">
        <f t="shared" si="22"/>
        <v>-83.71450761442907</v>
      </c>
      <c r="AB50" s="22">
        <f t="shared" si="4"/>
        <v>-49.20707511975688</v>
      </c>
      <c r="AC50" s="22">
        <f t="shared" si="23"/>
        <v>-25.390959515483672</v>
      </c>
      <c r="AD50" s="22">
        <f t="shared" si="5"/>
        <v>-24.899840360323765</v>
      </c>
      <c r="AE50" s="22">
        <f t="shared" si="24"/>
        <v>-75.90430949037852</v>
      </c>
      <c r="AF50" s="22">
        <f t="shared" si="25"/>
        <v>-23.79040609146584</v>
      </c>
      <c r="AG50" s="22">
        <f t="shared" si="26"/>
        <v>258.95635925919294</v>
      </c>
      <c r="AH50" s="22">
        <f t="shared" si="6"/>
        <v>307.7398171496732</v>
      </c>
      <c r="AI50" s="22">
        <f t="shared" si="27"/>
        <v>66.96026159480559</v>
      </c>
      <c r="AJ50" s="22">
        <f t="shared" si="28"/>
        <v>58.71520462130714</v>
      </c>
    </row>
    <row r="51" spans="1:36" ht="15.75">
      <c r="A51" s="86">
        <v>33329</v>
      </c>
      <c r="B51" s="87">
        <f>'Prices and Spreads'!J$6/100*'Historic Prices'!D33-('Historic Prices'!B26/100*'Prices and Spreads'!J$4*(1+'Historic Prices'!L26/100*7/12))-'Historic Prices'!N33-'Historic Prices'!P33</f>
        <v>103.81700195513986</v>
      </c>
      <c r="C51" s="87">
        <f>'Prices and Spreads'!K$6/100*'Historic Prices'!D33-('Historic Prices'!C28/100*'Prices and Spreads'!K$4*(1+'Historic Prices'!L26/100*5/12))-'Historic Prices'!O33-'Historic Prices'!Q33</f>
        <v>81.57507820505046</v>
      </c>
      <c r="E51" s="86">
        <v>33329</v>
      </c>
      <c r="F51" s="84">
        <f t="shared" si="29"/>
        <v>103.81700195513986</v>
      </c>
      <c r="G51" s="84">
        <f t="shared" si="30"/>
        <v>81.57507820505046</v>
      </c>
      <c r="H51" t="s">
        <v>97</v>
      </c>
      <c r="I51" s="91">
        <f t="shared" si="7"/>
        <v>-98.92195445472487</v>
      </c>
      <c r="J51" s="91">
        <f t="shared" si="8"/>
        <v>-64.18000699161382</v>
      </c>
      <c r="K51" s="91">
        <f t="shared" si="9"/>
        <v>51.376117354976486</v>
      </c>
      <c r="L51" s="91">
        <f t="shared" si="10"/>
        <v>110.37465039347668</v>
      </c>
      <c r="M51" s="91">
        <f t="shared" si="11"/>
        <v>-20.49328751610426</v>
      </c>
      <c r="N51" s="91">
        <f t="shared" si="12"/>
        <v>-3.5589469043280246</v>
      </c>
      <c r="O51" s="91">
        <f t="shared" si="13"/>
        <v>-69.64317816793644</v>
      </c>
      <c r="P51" s="91">
        <f t="shared" si="14"/>
        <v>25.010802904613243</v>
      </c>
      <c r="Q51" s="22">
        <f t="shared" si="15"/>
        <v>-26.7353032930406</v>
      </c>
      <c r="R51" s="22">
        <f t="shared" si="16"/>
        <v>58.067199898679334</v>
      </c>
      <c r="S51" s="22">
        <f t="shared" si="17"/>
        <v>77.44299510153863</v>
      </c>
      <c r="T51" s="22">
        <f t="shared" si="18"/>
        <v>125.8009963267734</v>
      </c>
      <c r="U51" s="22">
        <f t="shared" si="19"/>
        <v>-10.693169313787791</v>
      </c>
      <c r="V51" s="22">
        <f t="shared" si="1"/>
        <v>9.774517300615301</v>
      </c>
      <c r="W51" s="22">
        <f t="shared" si="20"/>
        <v>-95.00017423324496</v>
      </c>
      <c r="X51" s="22">
        <f t="shared" si="2"/>
        <v>-37.27770715974697</v>
      </c>
      <c r="Y51" s="22">
        <f t="shared" si="21"/>
        <v>49.243868500109556</v>
      </c>
      <c r="Z51" s="22">
        <f t="shared" si="3"/>
        <v>120.41607889085925</v>
      </c>
      <c r="AA51" s="22">
        <f t="shared" si="22"/>
        <v>-61.642930218147</v>
      </c>
      <c r="AB51" s="22">
        <f t="shared" si="4"/>
        <v>-4.5254438762406295</v>
      </c>
      <c r="AC51" s="22">
        <f t="shared" si="23"/>
        <v>-84.1422120308288</v>
      </c>
      <c r="AD51" s="22">
        <f t="shared" si="5"/>
        <v>-51.33885644522975</v>
      </c>
      <c r="AE51" s="22">
        <f t="shared" si="24"/>
        <v>-84.27098287347167</v>
      </c>
      <c r="AF51" s="22">
        <f t="shared" si="25"/>
        <v>-15.146544063755996</v>
      </c>
      <c r="AG51" s="22">
        <f t="shared" si="26"/>
        <v>419.62202833535696</v>
      </c>
      <c r="AH51" s="22">
        <f t="shared" si="6"/>
        <v>476.2714088503289</v>
      </c>
      <c r="AI51" s="22">
        <f t="shared" si="27"/>
        <v>50.75663300490862</v>
      </c>
      <c r="AJ51" s="22">
        <f t="shared" si="28"/>
        <v>19.40974560455608</v>
      </c>
    </row>
    <row r="52" spans="1:36" ht="15.75">
      <c r="A52" s="86">
        <v>33359</v>
      </c>
      <c r="B52" s="87">
        <f>'Prices and Spreads'!J$6/100*'Historic Prices'!D34-('Historic Prices'!B27/100*'Prices and Spreads'!J$4*(1+'Historic Prices'!L27/100*7/12))-'Historic Prices'!N34-'Historic Prices'!P34</f>
        <v>90.90254392242562</v>
      </c>
      <c r="C52" s="87">
        <f>'Prices and Spreads'!K$6/100*'Historic Prices'!D34-('Historic Prices'!C29/100*'Prices and Spreads'!K$4*(1+'Historic Prices'!L27/100*5/12))-'Historic Prices'!O34-'Historic Prices'!Q34</f>
        <v>39.835946376061344</v>
      </c>
      <c r="E52" s="86">
        <v>33359</v>
      </c>
      <c r="F52" s="84">
        <f t="shared" si="29"/>
        <v>90.90254392242562</v>
      </c>
      <c r="G52" s="84">
        <f t="shared" si="30"/>
        <v>39.835946376061344</v>
      </c>
      <c r="H52" t="s">
        <v>98</v>
      </c>
      <c r="I52" s="91">
        <f t="shared" si="7"/>
        <v>-100.66324726863868</v>
      </c>
      <c r="J52" s="91">
        <f t="shared" si="8"/>
        <v>-65.96154635131205</v>
      </c>
      <c r="K52" s="91">
        <f t="shared" si="9"/>
        <v>70.70939797480082</v>
      </c>
      <c r="L52" s="91">
        <f t="shared" si="10"/>
        <v>98.39483230373007</v>
      </c>
      <c r="M52" s="91">
        <f t="shared" si="11"/>
        <v>-34.721520930383974</v>
      </c>
      <c r="N52" s="91">
        <f t="shared" si="12"/>
        <v>-16.818102982384545</v>
      </c>
      <c r="O52" s="91">
        <f t="shared" si="13"/>
        <v>-26.04784089679518</v>
      </c>
      <c r="P52" s="91">
        <f t="shared" si="14"/>
        <v>67.50875543890093</v>
      </c>
      <c r="Q52" s="22">
        <f t="shared" si="15"/>
        <v>4.144094691468041</v>
      </c>
      <c r="R52" s="22">
        <f t="shared" si="16"/>
        <v>63.04540407709926</v>
      </c>
      <c r="S52" s="22">
        <f t="shared" si="17"/>
        <v>123.56160017587166</v>
      </c>
      <c r="T52" s="22">
        <f t="shared" si="18"/>
        <v>120.7469954646709</v>
      </c>
      <c r="U52" s="22">
        <f t="shared" si="19"/>
        <v>-14.883884549170858</v>
      </c>
      <c r="V52" s="22">
        <f t="shared" si="1"/>
        <v>11.933965881873931</v>
      </c>
      <c r="W52" s="22">
        <f t="shared" si="20"/>
        <v>-93.36246078277088</v>
      </c>
      <c r="X52" s="22">
        <f t="shared" si="2"/>
        <v>-6.911905444065681</v>
      </c>
      <c r="Y52" s="22">
        <f t="shared" si="21"/>
        <v>59.702130917254834</v>
      </c>
      <c r="Z52" s="22">
        <f t="shared" si="3"/>
        <v>95.58973255532435</v>
      </c>
      <c r="AA52" s="22">
        <f t="shared" si="22"/>
        <v>-11.531639417825886</v>
      </c>
      <c r="AB52" s="22">
        <f t="shared" si="4"/>
        <v>39.904556684490345</v>
      </c>
      <c r="AC52" s="22">
        <f t="shared" si="23"/>
        <v>-123.75800255956761</v>
      </c>
      <c r="AD52" s="22">
        <f t="shared" si="5"/>
        <v>-104.35908528839096</v>
      </c>
      <c r="AE52" s="22">
        <f t="shared" si="24"/>
        <v>-10.745884156955071</v>
      </c>
      <c r="AF52" s="22">
        <f t="shared" si="25"/>
        <v>49.12004680711499</v>
      </c>
      <c r="AG52" s="22">
        <f t="shared" si="26"/>
        <v>424.3640959557482</v>
      </c>
      <c r="AH52" s="22">
        <f t="shared" si="6"/>
        <v>454.72265015725867</v>
      </c>
      <c r="AI52" s="22">
        <f t="shared" si="27"/>
        <v>40.064843395970996</v>
      </c>
      <c r="AJ52" s="22">
        <f t="shared" si="28"/>
        <v>-34.46727354272579</v>
      </c>
    </row>
    <row r="53" spans="1:36" ht="15.75">
      <c r="A53" s="86">
        <v>33390</v>
      </c>
      <c r="B53" s="87">
        <f>'Prices and Spreads'!J$6/100*'Historic Prices'!D35-('Historic Prices'!B28/100*'Prices and Spreads'!J$4*(1+'Historic Prices'!L28/100*7/12))-'Historic Prices'!N35-'Historic Prices'!P35</f>
        <v>9.790238603647225</v>
      </c>
      <c r="C53" s="87">
        <f>'Prices and Spreads'!K$6/100*'Historic Prices'!D35-('Historic Prices'!C30/100*'Prices and Spreads'!K$4*(1+'Historic Prices'!L28/100*5/12))-'Historic Prices'!O35-'Historic Prices'!Q35</f>
        <v>9.432218951131233</v>
      </c>
      <c r="E53" s="86">
        <v>33390</v>
      </c>
      <c r="F53" s="84">
        <f t="shared" si="29"/>
        <v>9.790238603647225</v>
      </c>
      <c r="G53" s="84">
        <f t="shared" si="30"/>
        <v>9.432218951131233</v>
      </c>
      <c r="H53" t="s">
        <v>100</v>
      </c>
      <c r="I53" s="91">
        <f t="shared" si="7"/>
        <v>-95.10508205402505</v>
      </c>
      <c r="J53" s="91">
        <f t="shared" si="8"/>
        <v>-76.55580081812288</v>
      </c>
      <c r="K53" s="91">
        <f t="shared" si="9"/>
        <v>138.09152071962507</v>
      </c>
      <c r="L53" s="91">
        <f t="shared" si="10"/>
        <v>125.76652769743554</v>
      </c>
      <c r="M53" s="91">
        <f t="shared" si="11"/>
        <v>-27.099765667936424</v>
      </c>
      <c r="N53" s="91">
        <f t="shared" si="12"/>
        <v>-34.37757905550272</v>
      </c>
      <c r="O53" s="91">
        <f t="shared" si="13"/>
        <v>25.233428599390493</v>
      </c>
      <c r="P53" s="91">
        <f t="shared" si="14"/>
        <v>39.13517453330566</v>
      </c>
      <c r="Q53" s="22">
        <f t="shared" si="15"/>
        <v>18.607560439125933</v>
      </c>
      <c r="R53" s="22">
        <f t="shared" si="16"/>
        <v>52.42898660223807</v>
      </c>
      <c r="S53" s="22">
        <f t="shared" si="17"/>
        <v>91.68531220518395</v>
      </c>
      <c r="T53" s="22">
        <f t="shared" si="18"/>
        <v>84.46286746893759</v>
      </c>
      <c r="U53" s="22">
        <f t="shared" si="19"/>
        <v>-40.128681321031166</v>
      </c>
      <c r="V53" s="22">
        <f t="shared" si="1"/>
        <v>-35.06053000094913</v>
      </c>
      <c r="W53" s="22">
        <f t="shared" si="20"/>
        <v>-104.27979622161638</v>
      </c>
      <c r="X53" s="22">
        <f t="shared" si="2"/>
        <v>-5.665890950289636</v>
      </c>
      <c r="Y53" s="22">
        <f t="shared" si="21"/>
        <v>79.81506528227203</v>
      </c>
      <c r="Z53" s="22">
        <f t="shared" si="3"/>
        <v>85.95347250269631</v>
      </c>
      <c r="AA53" s="22">
        <f t="shared" si="22"/>
        <v>78.49008003809007</v>
      </c>
      <c r="AB53" s="22">
        <f t="shared" si="4"/>
        <v>48.99860124109266</v>
      </c>
      <c r="AC53" s="22">
        <f t="shared" si="23"/>
        <v>-94.22053451548342</v>
      </c>
      <c r="AD53" s="22">
        <f t="shared" si="5"/>
        <v>-104.01315451716529</v>
      </c>
      <c r="AE53" s="22">
        <f t="shared" si="24"/>
        <v>25.444027059561392</v>
      </c>
      <c r="AF53" s="22">
        <f t="shared" si="25"/>
        <v>58.46169520687846</v>
      </c>
      <c r="AG53" s="22">
        <f t="shared" si="26"/>
        <v>285.72503164222394</v>
      </c>
      <c r="AH53" s="22">
        <f t="shared" si="6"/>
        <v>274.2668015565948</v>
      </c>
      <c r="AI53" s="22">
        <f t="shared" si="27"/>
        <v>53.35103727106474</v>
      </c>
      <c r="AJ53" s="22">
        <f t="shared" si="28"/>
        <v>-16.709751011515067</v>
      </c>
    </row>
    <row r="54" spans="1:36" ht="15.75">
      <c r="A54" s="86">
        <v>33420</v>
      </c>
      <c r="B54" s="87">
        <f>'Prices and Spreads'!J$6/100*'Historic Prices'!D36-('Historic Prices'!B29/100*'Prices and Spreads'!J$4*(1+'Historic Prices'!L29/100*7/12))-'Historic Prices'!N36-'Historic Prices'!P36</f>
        <v>-30.606450688469863</v>
      </c>
      <c r="C54" s="87">
        <f>'Prices and Spreads'!K$6/100*'Historic Prices'!D36-('Historic Prices'!C31/100*'Prices and Spreads'!K$4*(1+'Historic Prices'!L29/100*5/12))-'Historic Prices'!O36-'Historic Prices'!Q36</f>
        <v>-22.894587631018112</v>
      </c>
      <c r="E54" s="86">
        <v>33420</v>
      </c>
      <c r="F54" s="84">
        <f t="shared" si="29"/>
        <v>-30.606450688469863</v>
      </c>
      <c r="G54" s="84">
        <f t="shared" si="30"/>
        <v>-22.894587631018112</v>
      </c>
      <c r="H54" t="s">
        <v>85</v>
      </c>
      <c r="I54" s="91">
        <f t="shared" si="7"/>
        <v>-56.52551455750449</v>
      </c>
      <c r="J54" s="91">
        <f t="shared" si="8"/>
        <v>14.561044120670147</v>
      </c>
      <c r="K54" s="91">
        <f t="shared" si="9"/>
        <v>128.1085089355245</v>
      </c>
      <c r="L54" s="91">
        <f t="shared" si="10"/>
        <v>104.11942300684893</v>
      </c>
      <c r="M54" s="91">
        <f t="shared" si="11"/>
        <v>-38.34974428759247</v>
      </c>
      <c r="N54" s="91">
        <f t="shared" si="12"/>
        <v>-14.289368320812258</v>
      </c>
      <c r="O54" s="91">
        <f t="shared" si="13"/>
        <v>93.71763812147441</v>
      </c>
      <c r="P54" s="91">
        <f t="shared" si="14"/>
        <v>93.99897137520762</v>
      </c>
      <c r="Q54" s="22">
        <f t="shared" si="15"/>
        <v>-6.994703995209846</v>
      </c>
      <c r="R54" s="22">
        <f t="shared" si="16"/>
        <v>13.834460725205759</v>
      </c>
      <c r="S54" s="22">
        <f t="shared" si="17"/>
        <v>59.56124893357287</v>
      </c>
      <c r="T54" s="22">
        <f t="shared" si="18"/>
        <v>70.88075864848892</v>
      </c>
      <c r="U54" s="22">
        <f t="shared" si="19"/>
        <v>-36.97093177936449</v>
      </c>
      <c r="V54" s="22">
        <f t="shared" si="1"/>
        <v>-61.58198156816063</v>
      </c>
      <c r="W54" s="22">
        <f t="shared" si="20"/>
        <v>-9.160809273726386</v>
      </c>
      <c r="X54" s="22">
        <f t="shared" si="2"/>
        <v>38.55574455593417</v>
      </c>
      <c r="Y54" s="22">
        <f t="shared" si="21"/>
        <v>62.73355432405825</v>
      </c>
      <c r="Z54" s="22">
        <f t="shared" si="3"/>
        <v>70.9755656211228</v>
      </c>
      <c r="AA54" s="22">
        <f t="shared" si="22"/>
        <v>107.65887359556754</v>
      </c>
      <c r="AB54" s="22">
        <f t="shared" si="4"/>
        <v>122.96249788318951</v>
      </c>
      <c r="AC54" s="22">
        <f t="shared" si="23"/>
        <v>-68.50716028557363</v>
      </c>
      <c r="AD54" s="22">
        <f t="shared" si="5"/>
        <v>-56.755733202896536</v>
      </c>
      <c r="AE54" s="22">
        <f t="shared" si="24"/>
        <v>115.48926681821004</v>
      </c>
      <c r="AF54" s="22">
        <f t="shared" si="25"/>
        <v>131.60357196454518</v>
      </c>
      <c r="AG54" s="22">
        <f t="shared" si="26"/>
        <v>129.68240021035712</v>
      </c>
      <c r="AH54" s="22">
        <f t="shared" si="6"/>
        <v>81.37875252052494</v>
      </c>
      <c r="AI54" s="22">
        <f t="shared" si="27"/>
        <v>85.53769060910054</v>
      </c>
      <c r="AJ54" s="22">
        <f t="shared" si="28"/>
        <v>13.186249974578331</v>
      </c>
    </row>
    <row r="55" spans="1:36" ht="15.75">
      <c r="A55" s="86">
        <v>33451</v>
      </c>
      <c r="B55" s="87">
        <f>'Prices and Spreads'!J$6/100*'Historic Prices'!D37-('Historic Prices'!B30/100*'Prices and Spreads'!J$4*(1+'Historic Prices'!L30/100*7/12))-'Historic Prices'!N37-'Historic Prices'!P37</f>
        <v>-91.53515706862515</v>
      </c>
      <c r="C55" s="87">
        <f>'Prices and Spreads'!K$6/100*'Historic Prices'!D37-('Historic Prices'!C32/100*'Prices and Spreads'!K$4*(1+'Historic Prices'!L30/100*5/12))-'Historic Prices'!O37-'Historic Prices'!Q37</f>
        <v>-79.44476194452876</v>
      </c>
      <c r="E55" s="86">
        <v>33451</v>
      </c>
      <c r="F55" s="84">
        <f t="shared" si="29"/>
        <v>-91.53515706862515</v>
      </c>
      <c r="G55" s="84">
        <f t="shared" si="30"/>
        <v>-79.44476194452876</v>
      </c>
      <c r="H55" t="s">
        <v>87</v>
      </c>
      <c r="I55" s="91">
        <f t="shared" si="7"/>
        <v>13.935435570366508</v>
      </c>
      <c r="J55" s="91">
        <f t="shared" si="8"/>
        <v>78.85826964400653</v>
      </c>
      <c r="K55" s="91">
        <f t="shared" si="9"/>
        <v>150.36027569969878</v>
      </c>
      <c r="L55" s="91">
        <f t="shared" si="10"/>
        <v>156.87470575818145</v>
      </c>
      <c r="M55" s="91">
        <f t="shared" si="11"/>
        <v>-17.835783433317516</v>
      </c>
      <c r="N55" s="91">
        <f t="shared" si="12"/>
        <v>-4.292405337603441</v>
      </c>
      <c r="O55" s="91">
        <f t="shared" si="13"/>
        <v>81.306349686192</v>
      </c>
      <c r="P55" s="91">
        <f t="shared" si="14"/>
        <v>126.12190358964571</v>
      </c>
      <c r="Q55" s="22">
        <f t="shared" si="15"/>
        <v>-0.6913544312508861</v>
      </c>
      <c r="R55" s="22">
        <f t="shared" si="16"/>
        <v>-6.8119276679479555</v>
      </c>
      <c r="S55" s="22">
        <f t="shared" si="17"/>
        <v>78.79601876876453</v>
      </c>
      <c r="T55" s="22">
        <f t="shared" si="18"/>
        <v>74.95268207950134</v>
      </c>
      <c r="U55" s="22">
        <f t="shared" si="19"/>
        <v>-93.54360623421675</v>
      </c>
      <c r="V55" s="22">
        <f t="shared" si="1"/>
        <v>-92.86406452441943</v>
      </c>
      <c r="W55" s="22">
        <f t="shared" si="20"/>
        <v>26.2965992835519</v>
      </c>
      <c r="X55" s="22">
        <f t="shared" si="2"/>
        <v>35.27804284025295</v>
      </c>
      <c r="Y55" s="22">
        <f t="shared" si="21"/>
        <v>46.20195929231474</v>
      </c>
      <c r="Z55" s="22">
        <f t="shared" si="3"/>
        <v>43.19722916718494</v>
      </c>
      <c r="AA55" s="22">
        <f t="shared" si="22"/>
        <v>78.4994007258679</v>
      </c>
      <c r="AB55" s="22">
        <f t="shared" si="4"/>
        <v>147.83116519686706</v>
      </c>
      <c r="AC55" s="22">
        <f t="shared" si="23"/>
        <v>-4.800182385183177</v>
      </c>
      <c r="AD55" s="22">
        <f t="shared" si="5"/>
        <v>-17.108422945821147</v>
      </c>
      <c r="AE55" s="22">
        <f t="shared" si="24"/>
        <v>128.23682236229408</v>
      </c>
      <c r="AF55" s="22">
        <f t="shared" si="25"/>
        <v>125.83829359367401</v>
      </c>
      <c r="AG55" s="22">
        <f t="shared" si="26"/>
        <v>85.16460747725597</v>
      </c>
      <c r="AH55" s="22">
        <f t="shared" si="6"/>
        <v>-7.262042609294852</v>
      </c>
      <c r="AI55" s="22">
        <f t="shared" si="27"/>
        <v>44.08246216263902</v>
      </c>
      <c r="AJ55" s="22">
        <f t="shared" si="28"/>
        <v>33.97818747457846</v>
      </c>
    </row>
    <row r="56" spans="1:36" ht="15.75">
      <c r="A56" s="86">
        <v>33482</v>
      </c>
      <c r="B56" s="87">
        <f>'Prices and Spreads'!J$6/100*'Historic Prices'!D38-('Historic Prices'!B31/100*'Prices and Spreads'!J$4*(1+'Historic Prices'!L31/100*7/12))-'Historic Prices'!N38-'Historic Prices'!P38</f>
        <v>-103.14915672970591</v>
      </c>
      <c r="C56" s="87">
        <f>'Prices and Spreads'!K$6/100*'Historic Prices'!D38-('Historic Prices'!C33/100*'Prices and Spreads'!K$4*(1+'Historic Prices'!L31/100*5/12))-'Historic Prices'!O38-'Historic Prices'!Q38</f>
        <v>-75.16445108213588</v>
      </c>
      <c r="E56" s="86">
        <v>33482</v>
      </c>
      <c r="F56" s="84">
        <f t="shared" si="29"/>
        <v>-103.14915672970591</v>
      </c>
      <c r="G56" s="84">
        <f t="shared" si="30"/>
        <v>-75.16445108213588</v>
      </c>
      <c r="H56" t="s">
        <v>89</v>
      </c>
      <c r="I56" s="91">
        <f t="shared" si="7"/>
        <v>58.26308430818881</v>
      </c>
      <c r="J56" s="91">
        <f t="shared" si="8"/>
        <v>84.42727616048168</v>
      </c>
      <c r="K56" s="91">
        <f t="shared" si="9"/>
        <v>181.52901076532632</v>
      </c>
      <c r="L56" s="91">
        <f t="shared" si="10"/>
        <v>201.03052521051433</v>
      </c>
      <c r="M56" s="91">
        <f t="shared" si="11"/>
        <v>22.896571746785526</v>
      </c>
      <c r="N56" s="91">
        <f t="shared" si="12"/>
        <v>38.432135713290805</v>
      </c>
      <c r="O56" s="91">
        <f t="shared" si="13"/>
        <v>46.8547969005391</v>
      </c>
      <c r="P56" s="91">
        <f t="shared" si="14"/>
        <v>94.38257158311113</v>
      </c>
      <c r="Q56" s="22">
        <f t="shared" si="15"/>
        <v>-17.732094518920377</v>
      </c>
      <c r="R56" s="22">
        <f t="shared" si="16"/>
        <v>-27.79703187119064</v>
      </c>
      <c r="S56" s="22">
        <f t="shared" si="17"/>
        <v>104.5266700882404</v>
      </c>
      <c r="T56" s="22">
        <f t="shared" si="18"/>
        <v>112.20678648035454</v>
      </c>
      <c r="U56" s="22">
        <f t="shared" si="19"/>
        <v>-103.93094324028198</v>
      </c>
      <c r="V56" s="22">
        <f t="shared" si="1"/>
        <v>-71.93234676659598</v>
      </c>
      <c r="W56" s="22">
        <f t="shared" si="20"/>
        <v>64.74456216422212</v>
      </c>
      <c r="X56" s="22">
        <f t="shared" si="2"/>
        <v>45.422341412088755</v>
      </c>
      <c r="Y56" s="22">
        <f t="shared" si="21"/>
        <v>99.3376693960324</v>
      </c>
      <c r="Z56" s="22">
        <f t="shared" si="3"/>
        <v>77.16503827904549</v>
      </c>
      <c r="AA56" s="22">
        <f t="shared" si="22"/>
        <v>138.17272115694897</v>
      </c>
      <c r="AB56" s="22">
        <f t="shared" si="4"/>
        <v>148.07934148224354</v>
      </c>
      <c r="AC56" s="22">
        <f t="shared" si="23"/>
        <v>39.499073928990896</v>
      </c>
      <c r="AD56" s="22">
        <f t="shared" si="5"/>
        <v>32.34083651113575</v>
      </c>
      <c r="AE56" s="22">
        <f t="shared" si="24"/>
        <v>131.43248247529723</v>
      </c>
      <c r="AF56" s="22">
        <f t="shared" si="25"/>
        <v>120.02023557952346</v>
      </c>
      <c r="AG56" s="22">
        <f t="shared" si="26"/>
        <v>164.961474207097</v>
      </c>
      <c r="AH56" s="22">
        <f t="shared" si="6"/>
        <v>48.88240228731517</v>
      </c>
      <c r="AI56" s="22">
        <f t="shared" si="27"/>
        <v>88.97657153251811</v>
      </c>
      <c r="AJ56" s="22">
        <f t="shared" si="28"/>
        <v>108.2021177384847</v>
      </c>
    </row>
    <row r="57" spans="1:36" ht="15.75">
      <c r="A57" s="86">
        <v>33512</v>
      </c>
      <c r="B57" s="87">
        <f>'Prices and Spreads'!J$6/100*'Historic Prices'!D39-('Historic Prices'!B32/100*'Prices and Spreads'!J$4*(1+'Historic Prices'!L32/100*7/12))-'Historic Prices'!N39-'Historic Prices'!P39</f>
        <v>-98.92195445472487</v>
      </c>
      <c r="C57" s="87">
        <f>'Prices and Spreads'!K$6/100*'Historic Prices'!D39-('Historic Prices'!C34/100*'Prices and Spreads'!K$4*(1+'Historic Prices'!L32/100*5/12))-'Historic Prices'!O39-'Historic Prices'!Q39</f>
        <v>-64.18000699161382</v>
      </c>
      <c r="E57" s="86">
        <v>33512</v>
      </c>
      <c r="F57" s="84">
        <f t="shared" si="29"/>
        <v>-98.92195445472487</v>
      </c>
      <c r="G57" s="84">
        <f t="shared" si="30"/>
        <v>-64.18000699161382</v>
      </c>
      <c r="H57" t="s">
        <v>90</v>
      </c>
      <c r="I57" s="91">
        <f t="shared" si="7"/>
        <v>62.53621768070562</v>
      </c>
      <c r="J57" s="91">
        <f t="shared" si="8"/>
        <v>85.98878051145162</v>
      </c>
      <c r="K57" s="91">
        <f t="shared" si="9"/>
        <v>177.12086916126046</v>
      </c>
      <c r="L57" s="91">
        <f t="shared" si="10"/>
        <v>176.7392860158491</v>
      </c>
      <c r="M57" s="91">
        <f t="shared" si="11"/>
        <v>24.698551598095264</v>
      </c>
      <c r="N57" s="91">
        <f t="shared" si="12"/>
        <v>34.607578402519394</v>
      </c>
      <c r="O57" s="91">
        <f t="shared" si="13"/>
        <v>50.749650456189954</v>
      </c>
      <c r="P57" s="91">
        <f t="shared" si="14"/>
        <v>30.129225222916332</v>
      </c>
      <c r="Q57" s="22">
        <f t="shared" si="15"/>
        <v>-53.30850909017141</v>
      </c>
      <c r="R57" s="22">
        <f t="shared" si="16"/>
        <v>-94.14552171080383</v>
      </c>
      <c r="S57" s="22">
        <f t="shared" si="17"/>
        <v>116.19338388569574</v>
      </c>
      <c r="T57" s="22">
        <f t="shared" si="18"/>
        <v>88.9670861973121</v>
      </c>
      <c r="U57" s="22">
        <f t="shared" si="19"/>
        <v>-59.42423603065669</v>
      </c>
      <c r="V57" s="22">
        <f t="shared" si="1"/>
        <v>-42.397413096255306</v>
      </c>
      <c r="W57" s="22">
        <f t="shared" si="20"/>
        <v>89.0112983864799</v>
      </c>
      <c r="X57" s="22">
        <f t="shared" si="2"/>
        <v>82.23124424957139</v>
      </c>
      <c r="Y57" s="22">
        <f t="shared" si="21"/>
        <v>115.57831074975041</v>
      </c>
      <c r="Z57" s="22">
        <f t="shared" si="3"/>
        <v>74.15923393695269</v>
      </c>
      <c r="AA57" s="22">
        <f t="shared" si="22"/>
        <v>137.146845130162</v>
      </c>
      <c r="AB57" s="22">
        <f t="shared" si="4"/>
        <v>82.88135766797451</v>
      </c>
      <c r="AC57" s="22">
        <f t="shared" si="23"/>
        <v>-12.65056357100903</v>
      </c>
      <c r="AD57" s="22">
        <f t="shared" si="5"/>
        <v>13.80121151113579</v>
      </c>
      <c r="AE57" s="22">
        <f t="shared" si="24"/>
        <v>166.75277718790974</v>
      </c>
      <c r="AF57" s="22">
        <f t="shared" si="25"/>
        <v>132.60013622221155</v>
      </c>
      <c r="AG57" s="22">
        <f t="shared" si="26"/>
        <v>163.16808847706852</v>
      </c>
      <c r="AH57" s="22">
        <f t="shared" si="6"/>
        <v>62.04026486447208</v>
      </c>
      <c r="AI57" s="22">
        <f t="shared" si="27"/>
        <v>146.755391738291</v>
      </c>
      <c r="AJ57" s="22">
        <f t="shared" si="28"/>
        <v>153.45493023848462</v>
      </c>
    </row>
    <row r="58" spans="1:36" ht="15.75">
      <c r="A58" s="86">
        <v>33543</v>
      </c>
      <c r="B58" s="87">
        <f>'Prices and Spreads'!J$6/100*'Historic Prices'!D40-('Historic Prices'!B33/100*'Prices and Spreads'!J$4*(1+'Historic Prices'!L33/100*7/12))-'Historic Prices'!N40-'Historic Prices'!P40</f>
        <v>-100.66324726863868</v>
      </c>
      <c r="C58" s="87">
        <f>'Prices and Spreads'!K$6/100*'Historic Prices'!D40-('Historic Prices'!C35/100*'Prices and Spreads'!K$4*(1+'Historic Prices'!L33/100*5/12))-'Historic Prices'!O40-'Historic Prices'!Q40</f>
        <v>-65.96154635131205</v>
      </c>
      <c r="E58" s="86">
        <v>33543</v>
      </c>
      <c r="F58" s="84">
        <f t="shared" si="29"/>
        <v>-100.66324726863868</v>
      </c>
      <c r="G58" s="84">
        <f t="shared" si="30"/>
        <v>-65.96154635131205</v>
      </c>
      <c r="H58" t="s">
        <v>92</v>
      </c>
      <c r="I58" s="91">
        <f t="shared" si="7"/>
        <v>54.964714748288145</v>
      </c>
      <c r="J58" s="91">
        <f t="shared" si="8"/>
        <v>91.21801448490939</v>
      </c>
      <c r="K58" s="91">
        <f t="shared" si="9"/>
        <v>188.11820612746928</v>
      </c>
      <c r="L58" s="91">
        <f t="shared" si="10"/>
        <v>144.71357070651658</v>
      </c>
      <c r="M58" s="91">
        <f t="shared" si="11"/>
        <v>-40.54499256362931</v>
      </c>
      <c r="N58" s="91">
        <f t="shared" si="12"/>
        <v>-62.097211034733775</v>
      </c>
      <c r="O58" s="91">
        <f t="shared" si="13"/>
        <v>6.562647287864024</v>
      </c>
      <c r="P58" s="91">
        <f t="shared" si="14"/>
        <v>-23.51595642250271</v>
      </c>
      <c r="Q58" s="22">
        <f t="shared" si="15"/>
        <v>-46.0863078404177</v>
      </c>
      <c r="R58" s="22">
        <f t="shared" si="16"/>
        <v>-107.86320634024996</v>
      </c>
      <c r="S58" s="22">
        <f t="shared" si="17"/>
        <v>123.75472061201842</v>
      </c>
      <c r="T58" s="22">
        <f t="shared" si="18"/>
        <v>83.5354393864276</v>
      </c>
      <c r="U58" s="22">
        <f t="shared" si="19"/>
        <v>-35.45498175897964</v>
      </c>
      <c r="V58" s="22">
        <f t="shared" si="1"/>
        <v>-47.07010840404379</v>
      </c>
      <c r="W58" s="22">
        <f t="shared" si="20"/>
        <v>60.49686985306758</v>
      </c>
      <c r="X58" s="22">
        <f t="shared" si="2"/>
        <v>48.20519339644217</v>
      </c>
      <c r="Y58" s="22">
        <f t="shared" si="21"/>
        <v>109.50933706144264</v>
      </c>
      <c r="Z58" s="22">
        <f t="shared" si="3"/>
        <v>13.001421897495348</v>
      </c>
      <c r="AA58" s="22">
        <f t="shared" si="22"/>
        <v>129.92835775851032</v>
      </c>
      <c r="AB58" s="22">
        <f t="shared" si="4"/>
        <v>59.96282256832916</v>
      </c>
      <c r="AC58" s="22">
        <f t="shared" si="23"/>
        <v>4.030064329381304</v>
      </c>
      <c r="AD58" s="22">
        <f t="shared" si="5"/>
        <v>-24.114439131552402</v>
      </c>
      <c r="AE58" s="22">
        <f t="shared" si="24"/>
        <v>163.91987693121314</v>
      </c>
      <c r="AF58" s="22">
        <f t="shared" si="25"/>
        <v>115.02482869331911</v>
      </c>
      <c r="AG58" s="22">
        <f t="shared" si="26"/>
        <v>152.9572626441535</v>
      </c>
      <c r="AH58" s="22">
        <f t="shared" si="6"/>
        <v>90.251093838121</v>
      </c>
      <c r="AI58" s="22">
        <f t="shared" si="27"/>
        <v>117.91729726040444</v>
      </c>
      <c r="AJ58" s="22">
        <f t="shared" si="28"/>
        <v>124.2541526065316</v>
      </c>
    </row>
    <row r="59" spans="1:36" ht="15.75">
      <c r="A59" s="86">
        <v>33573</v>
      </c>
      <c r="B59" s="87">
        <f>'Prices and Spreads'!J$6/100*'Historic Prices'!D41-('Historic Prices'!B34/100*'Prices and Spreads'!J$4*(1+'Historic Prices'!L34/100*7/12))-'Historic Prices'!N41-'Historic Prices'!P41</f>
        <v>-95.10508205402505</v>
      </c>
      <c r="C59" s="87">
        <f>'Prices and Spreads'!K$6/100*'Historic Prices'!D41-('Historic Prices'!C36/100*'Prices and Spreads'!K$4*(1+'Historic Prices'!L34/100*5/12))-'Historic Prices'!O41-'Historic Prices'!Q41</f>
        <v>-76.55580081812288</v>
      </c>
      <c r="E59" s="86">
        <v>33573</v>
      </c>
      <c r="F59" s="84">
        <f t="shared" si="29"/>
        <v>-95.10508205402505</v>
      </c>
      <c r="G59" s="84">
        <f t="shared" si="30"/>
        <v>-76.55580081812288</v>
      </c>
      <c r="H59" t="s">
        <v>94</v>
      </c>
      <c r="I59" s="91">
        <f t="shared" si="7"/>
        <v>54.96437330691367</v>
      </c>
      <c r="J59" s="91">
        <f t="shared" si="8"/>
        <v>81.40023258774383</v>
      </c>
      <c r="K59" s="91">
        <f t="shared" si="9"/>
        <v>125.14332232025325</v>
      </c>
      <c r="L59" s="91">
        <f t="shared" si="10"/>
        <v>89.17607937918326</v>
      </c>
      <c r="M59" s="91">
        <f t="shared" si="11"/>
        <v>-87.27512159324999</v>
      </c>
      <c r="N59" s="91">
        <f t="shared" si="12"/>
        <v>-103.93081078078296</v>
      </c>
      <c r="O59" s="91">
        <f t="shared" si="13"/>
        <v>-21.569064823188285</v>
      </c>
      <c r="P59" s="91">
        <f t="shared" si="14"/>
        <v>-28.22904048487335</v>
      </c>
      <c r="Q59" s="22">
        <f t="shared" si="15"/>
        <v>-29.429271383171624</v>
      </c>
      <c r="R59" s="22">
        <f t="shared" si="16"/>
        <v>-28.17645197476962</v>
      </c>
      <c r="S59" s="22">
        <f t="shared" si="17"/>
        <v>59.22737411501683</v>
      </c>
      <c r="T59" s="22">
        <f t="shared" si="18"/>
        <v>13.801652675764402</v>
      </c>
      <c r="U59" s="22">
        <f t="shared" si="19"/>
        <v>-48.047321453890476</v>
      </c>
      <c r="V59" s="22">
        <f t="shared" si="1"/>
        <v>-38.83988807740991</v>
      </c>
      <c r="W59" s="22">
        <f t="shared" si="20"/>
        <v>50.91855911738705</v>
      </c>
      <c r="X59" s="22">
        <f t="shared" si="2"/>
        <v>46.42146740426564</v>
      </c>
      <c r="Y59" s="22">
        <f t="shared" si="21"/>
        <v>44.567672123733246</v>
      </c>
      <c r="Z59" s="22">
        <f t="shared" si="3"/>
        <v>1.447877377758985</v>
      </c>
      <c r="AA59" s="22">
        <f t="shared" si="22"/>
        <v>94.80195221442631</v>
      </c>
      <c r="AB59" s="22">
        <f t="shared" si="4"/>
        <v>80.8893544545335</v>
      </c>
      <c r="AC59" s="22">
        <f t="shared" si="23"/>
        <v>-33.734745270228274</v>
      </c>
      <c r="AD59" s="22">
        <f t="shared" si="5"/>
        <v>-27.98020531728349</v>
      </c>
      <c r="AE59" s="22">
        <f t="shared" si="24"/>
        <v>93.27439851742935</v>
      </c>
      <c r="AF59" s="22">
        <f t="shared" si="25"/>
        <v>99.23312116500185</v>
      </c>
      <c r="AG59" s="22">
        <f t="shared" si="26"/>
        <v>148.69776491788446</v>
      </c>
      <c r="AH59" s="22">
        <f t="shared" si="6"/>
        <v>230.03091804091036</v>
      </c>
      <c r="AI59" s="22">
        <f t="shared" si="27"/>
        <v>45.438747260404654</v>
      </c>
      <c r="AJ59" s="22">
        <f t="shared" si="28"/>
        <v>50.51001510723722</v>
      </c>
    </row>
    <row r="60" spans="1:36" ht="15.75">
      <c r="A60" s="86">
        <v>33604</v>
      </c>
      <c r="B60" s="87">
        <f>'Prices and Spreads'!J$6/100*'Historic Prices'!D42-('Historic Prices'!B35/100*'Prices and Spreads'!J$4*(1+'Historic Prices'!L35/100*7/12))-'Historic Prices'!N42-'Historic Prices'!P42</f>
        <v>-56.52551455750449</v>
      </c>
      <c r="C60" s="87">
        <f>'Prices and Spreads'!K$6/100*'Historic Prices'!D42-('Historic Prices'!C37/100*'Prices and Spreads'!K$4*(1+'Historic Prices'!L35/100*5/12))-'Historic Prices'!O42-'Historic Prices'!Q42</f>
        <v>14.561044120670147</v>
      </c>
      <c r="E60" s="86">
        <v>33604</v>
      </c>
      <c r="F60" s="84">
        <f t="shared" si="29"/>
        <v>-56.52551455750449</v>
      </c>
      <c r="G60" s="84">
        <f t="shared" si="30"/>
        <v>14.561044120670147</v>
      </c>
      <c r="H60" t="s">
        <v>116</v>
      </c>
      <c r="I60" s="91">
        <f t="shared" si="7"/>
        <v>62.538588192581926</v>
      </c>
      <c r="J60" s="91">
        <f t="shared" si="8"/>
        <v>64.03094495284847</v>
      </c>
      <c r="K60" s="91">
        <f t="shared" si="9"/>
        <v>87.6611480418467</v>
      </c>
      <c r="L60" s="91">
        <f t="shared" si="10"/>
        <v>60.24632022318454</v>
      </c>
      <c r="M60" s="91">
        <f t="shared" si="11"/>
        <v>-64.21106928993913</v>
      </c>
      <c r="N60" s="91">
        <f t="shared" si="12"/>
        <v>-55.48488982723245</v>
      </c>
      <c r="O60" s="91">
        <f t="shared" si="13"/>
        <v>-48.45852444210723</v>
      </c>
      <c r="P60" s="91">
        <f t="shared" si="14"/>
        <v>-24.14167552189832</v>
      </c>
      <c r="Q60" s="22">
        <f t="shared" si="15"/>
        <v>-17.913829973762745</v>
      </c>
      <c r="R60" s="22">
        <f t="shared" si="16"/>
        <v>9.176931600538992</v>
      </c>
      <c r="S60" s="22">
        <f t="shared" si="17"/>
        <v>47.20567360832359</v>
      </c>
      <c r="T60" s="22">
        <f t="shared" si="18"/>
        <v>12.003837191564557</v>
      </c>
      <c r="U60" s="22">
        <f t="shared" si="19"/>
        <v>-98.7382840641757</v>
      </c>
      <c r="V60" s="22">
        <f t="shared" si="1"/>
        <v>-62.264323713258335</v>
      </c>
      <c r="W60" s="22">
        <f t="shared" si="20"/>
        <v>31.22813845588871</v>
      </c>
      <c r="X60" s="22">
        <f t="shared" si="2"/>
        <v>24.199006765906205</v>
      </c>
      <c r="Y60" s="22">
        <f t="shared" si="21"/>
        <v>-17.558269188557404</v>
      </c>
      <c r="Z60" s="22">
        <f t="shared" si="3"/>
        <v>-12.026837122256879</v>
      </c>
      <c r="AA60" s="22">
        <f t="shared" si="22"/>
        <v>58.740674442384574</v>
      </c>
      <c r="AB60" s="22">
        <f t="shared" si="4"/>
        <v>44.78832881184549</v>
      </c>
      <c r="AC60" s="22">
        <f t="shared" si="23"/>
        <v>-78.74912078362175</v>
      </c>
      <c r="AD60" s="22">
        <f t="shared" si="5"/>
        <v>-55.61110771763835</v>
      </c>
      <c r="AE60" s="22">
        <f t="shared" si="24"/>
        <v>100.56674915917094</v>
      </c>
      <c r="AF60" s="22">
        <f t="shared" si="25"/>
        <v>144.0508687955327</v>
      </c>
      <c r="AG60" s="22">
        <f t="shared" si="26"/>
        <v>85.44189738842687</v>
      </c>
      <c r="AH60" s="22">
        <f t="shared" si="6"/>
        <v>158.45457281797255</v>
      </c>
      <c r="AI60" s="22">
        <f t="shared" si="27"/>
        <v>-6.462541695368344</v>
      </c>
      <c r="AJ60" s="22">
        <f t="shared" si="28"/>
        <v>14.153921357237124</v>
      </c>
    </row>
    <row r="61" spans="1:36" ht="15.75">
      <c r="A61" s="86">
        <v>33635</v>
      </c>
      <c r="B61" s="87">
        <f>'Prices and Spreads'!J$6/100*'Historic Prices'!D43-('Historic Prices'!B36/100*'Prices and Spreads'!J$4*(1+'Historic Prices'!L36/100*7/12))-'Historic Prices'!N43-'Historic Prices'!P43</f>
        <v>13.935435570366508</v>
      </c>
      <c r="C61" s="87">
        <f>'Prices and Spreads'!K$6/100*'Historic Prices'!D43-('Historic Prices'!C38/100*'Prices and Spreads'!K$4*(1+'Historic Prices'!L36/100*5/12))-'Historic Prices'!O43-'Historic Prices'!Q43</f>
        <v>78.85826964400653</v>
      </c>
      <c r="E61" s="86">
        <v>33635</v>
      </c>
      <c r="F61" s="84">
        <f t="shared" si="29"/>
        <v>13.935435570366508</v>
      </c>
      <c r="G61" s="84">
        <f t="shared" si="30"/>
        <v>78.85826964400653</v>
      </c>
      <c r="H61" t="s">
        <v>117</v>
      </c>
      <c r="I61" s="91">
        <f t="shared" si="7"/>
        <v>74.81562685292741</v>
      </c>
      <c r="J61" s="91">
        <f t="shared" si="8"/>
        <v>90.2877174881018</v>
      </c>
      <c r="K61" s="91">
        <f t="shared" si="9"/>
        <v>54.96588602649882</v>
      </c>
      <c r="L61" s="91">
        <f t="shared" si="10"/>
        <v>56.5871835951006</v>
      </c>
      <c r="M61" s="91">
        <f t="shared" si="11"/>
        <v>-34.1245179730071</v>
      </c>
      <c r="N61" s="91">
        <f t="shared" si="12"/>
        <v>-27.131046998681953</v>
      </c>
      <c r="O61" s="91">
        <f t="shared" si="13"/>
        <v>-60.618601252786675</v>
      </c>
      <c r="P61" s="91">
        <f t="shared" si="14"/>
        <v>-8.831728912051588</v>
      </c>
      <c r="Q61" s="22">
        <f t="shared" si="15"/>
        <v>22.242164542488553</v>
      </c>
      <c r="R61" s="22">
        <f t="shared" si="16"/>
        <v>47.91909401770735</v>
      </c>
      <c r="S61" s="22">
        <f t="shared" si="17"/>
        <v>40.28806727196442</v>
      </c>
      <c r="T61" s="22">
        <f t="shared" si="18"/>
        <v>42.86397260066923</v>
      </c>
      <c r="U61" s="22">
        <f t="shared" si="19"/>
        <v>-70.5994299014921</v>
      </c>
      <c r="V61" s="22">
        <f t="shared" si="1"/>
        <v>-30.209716581860803</v>
      </c>
      <c r="W61" s="22">
        <f t="shared" si="20"/>
        <v>28.0389527049918</v>
      </c>
      <c r="X61" s="22">
        <f t="shared" si="2"/>
        <v>54.763127410626964</v>
      </c>
      <c r="Y61" s="22">
        <f t="shared" si="21"/>
        <v>-58.32392045882224</v>
      </c>
      <c r="Z61" s="22">
        <f t="shared" si="3"/>
        <v>-33.340404161752915</v>
      </c>
      <c r="AA61" s="22">
        <f t="shared" si="22"/>
        <v>21.978843384906753</v>
      </c>
      <c r="AB61" s="22">
        <f t="shared" si="4"/>
        <v>30.2363634262324</v>
      </c>
      <c r="AC61" s="22">
        <f t="shared" si="23"/>
        <v>-61.08279455175989</v>
      </c>
      <c r="AD61" s="22">
        <f t="shared" si="5"/>
        <v>-36.79679873297141</v>
      </c>
      <c r="AE61" s="22">
        <f t="shared" si="24"/>
        <v>151.12861503233063</v>
      </c>
      <c r="AF61" s="22">
        <f t="shared" si="25"/>
        <v>212.76258155801682</v>
      </c>
      <c r="AG61" s="22">
        <f t="shared" si="26"/>
        <v>110.60926842241227</v>
      </c>
      <c r="AH61" s="22">
        <f t="shared" si="6"/>
        <v>125.13579705888607</v>
      </c>
      <c r="AI61" s="22">
        <f t="shared" si="27"/>
        <v>20.559130230808734</v>
      </c>
      <c r="AJ61" s="22">
        <f t="shared" si="28"/>
        <v>-6.605068321984376</v>
      </c>
    </row>
    <row r="62" spans="1:36" ht="15.75">
      <c r="A62" s="86">
        <v>33664</v>
      </c>
      <c r="B62" s="87">
        <f>'Prices and Spreads'!J$6/100*'Historic Prices'!D44-('Historic Prices'!B37/100*'Prices and Spreads'!J$4*(1+'Historic Prices'!L37/100*7/12))-'Historic Prices'!N44-'Historic Prices'!P44</f>
        <v>58.26308430818881</v>
      </c>
      <c r="C62" s="87">
        <f>'Prices and Spreads'!K$6/100*'Historic Prices'!D44-('Historic Prices'!C39/100*'Prices and Spreads'!K$4*(1+'Historic Prices'!L37/100*5/12))-'Historic Prices'!O44-'Historic Prices'!Q44</f>
        <v>84.42727616048168</v>
      </c>
      <c r="E62" s="86">
        <v>33664</v>
      </c>
      <c r="F62" s="84">
        <f t="shared" si="29"/>
        <v>58.26308430818881</v>
      </c>
      <c r="G62" s="84">
        <f t="shared" si="30"/>
        <v>84.42727616048168</v>
      </c>
      <c r="H62" t="s">
        <v>118</v>
      </c>
      <c r="I62" s="91">
        <f t="shared" si="7"/>
        <v>54.73738213907703</v>
      </c>
      <c r="J62" s="91">
        <f t="shared" si="8"/>
        <v>106.32498370827813</v>
      </c>
      <c r="K62" s="91">
        <f t="shared" si="9"/>
        <v>29.873517461608742</v>
      </c>
      <c r="L62" s="91">
        <f t="shared" si="10"/>
        <v>28.438002473141182</v>
      </c>
      <c r="M62" s="91">
        <f t="shared" si="11"/>
        <v>-61.429196507971625</v>
      </c>
      <c r="N62" s="91">
        <f t="shared" si="12"/>
        <v>-29.182115339371876</v>
      </c>
      <c r="O62" s="91">
        <f t="shared" si="13"/>
        <v>-58.10979715912393</v>
      </c>
      <c r="P62" s="91">
        <f t="shared" si="14"/>
        <v>25.847742535176963</v>
      </c>
      <c r="Q62" s="22">
        <f t="shared" si="15"/>
        <v>61.95999633484601</v>
      </c>
      <c r="R62" s="22">
        <f t="shared" si="16"/>
        <v>124.27538302484653</v>
      </c>
      <c r="S62" s="22">
        <f t="shared" si="17"/>
        <v>10.502562558151084</v>
      </c>
      <c r="T62" s="22">
        <f t="shared" si="18"/>
        <v>21.92978667977185</v>
      </c>
      <c r="U62" s="22">
        <f t="shared" si="19"/>
        <v>-112.16302985774325</v>
      </c>
      <c r="V62" s="22">
        <f t="shared" si="1"/>
        <v>-74.0308040535926</v>
      </c>
      <c r="W62" s="22">
        <f t="shared" si="20"/>
        <v>26.30359481180173</v>
      </c>
      <c r="X62" s="22">
        <f t="shared" si="2"/>
        <v>71.50472704219278</v>
      </c>
      <c r="Y62" s="22">
        <f t="shared" si="21"/>
        <v>-83.71450761442907</v>
      </c>
      <c r="Z62" s="22">
        <f t="shared" si="3"/>
        <v>-49.20707511975688</v>
      </c>
      <c r="AA62" s="22">
        <f t="shared" si="22"/>
        <v>-25.390959515483672</v>
      </c>
      <c r="AB62" s="22">
        <f t="shared" si="4"/>
        <v>-24.899840360323765</v>
      </c>
      <c r="AC62" s="22">
        <f t="shared" si="23"/>
        <v>-75.90430949037852</v>
      </c>
      <c r="AD62" s="22">
        <f t="shared" si="5"/>
        <v>-23.79040609146584</v>
      </c>
      <c r="AE62" s="22">
        <f t="shared" si="24"/>
        <v>258.95635925919294</v>
      </c>
      <c r="AF62" s="22">
        <f t="shared" si="25"/>
        <v>307.7398171496732</v>
      </c>
      <c r="AG62" s="22">
        <f t="shared" si="26"/>
        <v>66.96026159480559</v>
      </c>
      <c r="AH62" s="22">
        <f t="shared" si="6"/>
        <v>58.71520462130714</v>
      </c>
      <c r="AI62" s="22">
        <f t="shared" si="27"/>
        <v>42.401743351107314</v>
      </c>
      <c r="AJ62" s="22">
        <f t="shared" si="28"/>
        <v>0.6797817706280256</v>
      </c>
    </row>
    <row r="63" spans="1:36" ht="15.75">
      <c r="A63" s="86">
        <v>33695</v>
      </c>
      <c r="B63" s="87">
        <f>'Prices and Spreads'!J$6/100*'Historic Prices'!D45-('Historic Prices'!B38/100*'Prices and Spreads'!J$4*(1+'Historic Prices'!L38/100*7/12))-'Historic Prices'!N45-'Historic Prices'!P45</f>
        <v>62.53621768070562</v>
      </c>
      <c r="C63" s="87">
        <f>'Prices and Spreads'!K$6/100*'Historic Prices'!D45-('Historic Prices'!C40/100*'Prices and Spreads'!K$4*(1+'Historic Prices'!L38/100*5/12))-'Historic Prices'!O45-'Historic Prices'!Q45</f>
        <v>85.98878051145162</v>
      </c>
      <c r="E63" s="86">
        <v>33695</v>
      </c>
      <c r="F63" s="84">
        <f t="shared" si="29"/>
        <v>62.53621768070562</v>
      </c>
      <c r="G63" s="84">
        <f t="shared" si="30"/>
        <v>85.98878051145162</v>
      </c>
      <c r="H63" t="s">
        <v>97</v>
      </c>
      <c r="I63" s="91">
        <f t="shared" si="7"/>
        <v>51.376117354976486</v>
      </c>
      <c r="J63" s="91">
        <f t="shared" si="8"/>
        <v>110.37465039347668</v>
      </c>
      <c r="K63" s="91">
        <f t="shared" si="9"/>
        <v>-20.49328751610426</v>
      </c>
      <c r="L63" s="91">
        <f t="shared" si="10"/>
        <v>-3.5589469043280246</v>
      </c>
      <c r="M63" s="91">
        <f t="shared" si="11"/>
        <v>-69.64317816793644</v>
      </c>
      <c r="N63" s="91">
        <f t="shared" si="12"/>
        <v>25.010802904613243</v>
      </c>
      <c r="O63" s="91">
        <f t="shared" si="13"/>
        <v>-26.7353032930406</v>
      </c>
      <c r="P63" s="91">
        <f t="shared" si="14"/>
        <v>58.067199898679334</v>
      </c>
      <c r="Q63" s="22">
        <f t="shared" si="15"/>
        <v>77.44299510153863</v>
      </c>
      <c r="R63" s="22">
        <f t="shared" si="16"/>
        <v>125.8009963267734</v>
      </c>
      <c r="S63" s="22">
        <f t="shared" si="17"/>
        <v>-10.693169313787791</v>
      </c>
      <c r="T63" s="22">
        <f t="shared" si="18"/>
        <v>9.774517300615301</v>
      </c>
      <c r="U63" s="22">
        <f t="shared" si="19"/>
        <v>-95.00017423324496</v>
      </c>
      <c r="V63" s="22">
        <f t="shared" si="1"/>
        <v>-37.27770715974697</v>
      </c>
      <c r="W63" s="22">
        <f t="shared" si="20"/>
        <v>49.243868500109556</v>
      </c>
      <c r="X63" s="22">
        <f t="shared" si="2"/>
        <v>120.41607889085925</v>
      </c>
      <c r="Y63" s="22">
        <f t="shared" si="21"/>
        <v>-61.642930218147</v>
      </c>
      <c r="Z63" s="22">
        <f t="shared" si="3"/>
        <v>-4.5254438762406295</v>
      </c>
      <c r="AA63" s="22">
        <f t="shared" si="22"/>
        <v>-84.1422120308288</v>
      </c>
      <c r="AB63" s="22">
        <f t="shared" si="4"/>
        <v>-51.33885644522975</v>
      </c>
      <c r="AC63" s="22">
        <f t="shared" si="23"/>
        <v>-84.27098287347167</v>
      </c>
      <c r="AD63" s="22">
        <f t="shared" si="5"/>
        <v>-15.146544063755996</v>
      </c>
      <c r="AE63" s="22">
        <f t="shared" si="24"/>
        <v>419.62202833535696</v>
      </c>
      <c r="AF63" s="22">
        <f t="shared" si="25"/>
        <v>476.2714088503289</v>
      </c>
      <c r="AG63" s="22">
        <f t="shared" si="26"/>
        <v>50.75663300490862</v>
      </c>
      <c r="AH63" s="22">
        <f t="shared" si="6"/>
        <v>19.40974560455608</v>
      </c>
      <c r="AI63" s="22">
        <f t="shared" si="27"/>
        <v>38.569797584084114</v>
      </c>
      <c r="AJ63" s="22">
        <f t="shared" si="28"/>
        <v>33.51787154246216</v>
      </c>
    </row>
    <row r="64" spans="1:36" ht="15.75">
      <c r="A64" s="86">
        <v>33725</v>
      </c>
      <c r="B64" s="87">
        <f>'Prices and Spreads'!J$6/100*'Historic Prices'!D46-('Historic Prices'!B39/100*'Prices and Spreads'!J$4*(1+'Historic Prices'!L39/100*7/12))-'Historic Prices'!N46-'Historic Prices'!P46</f>
        <v>54.964714748288145</v>
      </c>
      <c r="C64" s="87">
        <f>'Prices and Spreads'!K$6/100*'Historic Prices'!D46-('Historic Prices'!C41/100*'Prices and Spreads'!K$4*(1+'Historic Prices'!L39/100*5/12))-'Historic Prices'!O46-'Historic Prices'!Q46</f>
        <v>91.21801448490939</v>
      </c>
      <c r="E64" s="86">
        <v>33725</v>
      </c>
      <c r="F64" s="84">
        <f t="shared" si="29"/>
        <v>54.964714748288145</v>
      </c>
      <c r="G64" s="84">
        <f t="shared" si="30"/>
        <v>91.21801448490939</v>
      </c>
      <c r="H64" t="s">
        <v>98</v>
      </c>
      <c r="I64" s="91">
        <f t="shared" si="7"/>
        <v>70.70939797480082</v>
      </c>
      <c r="J64" s="91">
        <f t="shared" si="8"/>
        <v>98.39483230373007</v>
      </c>
      <c r="K64" s="91">
        <f t="shared" si="9"/>
        <v>-34.721520930383974</v>
      </c>
      <c r="L64" s="91">
        <f t="shared" si="10"/>
        <v>-16.818102982384545</v>
      </c>
      <c r="M64" s="91">
        <f t="shared" si="11"/>
        <v>-26.04784089679518</v>
      </c>
      <c r="N64" s="91">
        <f t="shared" si="12"/>
        <v>67.50875543890093</v>
      </c>
      <c r="O64" s="91">
        <f t="shared" si="13"/>
        <v>4.144094691468041</v>
      </c>
      <c r="P64" s="91">
        <f t="shared" si="14"/>
        <v>63.04540407709926</v>
      </c>
      <c r="Q64" s="22">
        <f t="shared" si="15"/>
        <v>123.56160017587166</v>
      </c>
      <c r="R64" s="22">
        <f t="shared" si="16"/>
        <v>120.7469954646709</v>
      </c>
      <c r="S64" s="22">
        <f t="shared" si="17"/>
        <v>-14.883884549170858</v>
      </c>
      <c r="T64" s="22">
        <f t="shared" si="18"/>
        <v>11.933965881873931</v>
      </c>
      <c r="U64" s="22">
        <f t="shared" si="19"/>
        <v>-93.36246078277088</v>
      </c>
      <c r="V64" s="22">
        <f t="shared" si="1"/>
        <v>-6.911905444065681</v>
      </c>
      <c r="W64" s="22">
        <f t="shared" si="20"/>
        <v>59.702130917254834</v>
      </c>
      <c r="X64" s="22">
        <f t="shared" si="2"/>
        <v>95.58973255532435</v>
      </c>
      <c r="Y64" s="22">
        <f t="shared" si="21"/>
        <v>-11.531639417825886</v>
      </c>
      <c r="Z64" s="22">
        <f t="shared" si="3"/>
        <v>39.904556684490345</v>
      </c>
      <c r="AA64" s="22">
        <f t="shared" si="22"/>
        <v>-123.75800255956761</v>
      </c>
      <c r="AB64" s="22">
        <f t="shared" si="4"/>
        <v>-104.35908528839096</v>
      </c>
      <c r="AC64" s="22">
        <f t="shared" si="23"/>
        <v>-10.745884156955071</v>
      </c>
      <c r="AD64" s="22">
        <f t="shared" si="5"/>
        <v>49.12004680711499</v>
      </c>
      <c r="AE64" s="22">
        <f t="shared" si="24"/>
        <v>424.3640959557482</v>
      </c>
      <c r="AF64" s="22">
        <f t="shared" si="25"/>
        <v>454.72265015725867</v>
      </c>
      <c r="AG64" s="22">
        <f t="shared" si="26"/>
        <v>40.064843395970996</v>
      </c>
      <c r="AH64" s="22">
        <f t="shared" si="6"/>
        <v>-34.46727354272579</v>
      </c>
      <c r="AI64" s="22">
        <f t="shared" si="27"/>
        <v>65.08059305821979</v>
      </c>
      <c r="AJ64" s="22">
        <f t="shared" si="28"/>
        <v>58.82288027197433</v>
      </c>
    </row>
    <row r="65" spans="1:36" ht="15.75">
      <c r="A65" s="86">
        <v>33756</v>
      </c>
      <c r="B65" s="87">
        <f>'Prices and Spreads'!J$6/100*'Historic Prices'!D47-('Historic Prices'!B40/100*'Prices and Spreads'!J$4*(1+'Historic Prices'!L40/100*7/12))-'Historic Prices'!N47-'Historic Prices'!P47</f>
        <v>54.96437330691367</v>
      </c>
      <c r="C65" s="87">
        <f>'Prices and Spreads'!K$6/100*'Historic Prices'!D47-('Historic Prices'!C42/100*'Prices and Spreads'!K$4*(1+'Historic Prices'!L40/100*5/12))-'Historic Prices'!O47-'Historic Prices'!Q47</f>
        <v>81.40023258774383</v>
      </c>
      <c r="E65" s="86">
        <v>33756</v>
      </c>
      <c r="F65" s="84">
        <f t="shared" si="29"/>
        <v>54.96437330691367</v>
      </c>
      <c r="G65" s="84">
        <f t="shared" si="30"/>
        <v>81.40023258774383</v>
      </c>
      <c r="H65" t="s">
        <v>100</v>
      </c>
      <c r="I65" s="91">
        <f t="shared" si="7"/>
        <v>138.09152071962507</v>
      </c>
      <c r="J65" s="91">
        <f t="shared" si="8"/>
        <v>125.76652769743554</v>
      </c>
      <c r="K65" s="91">
        <f t="shared" si="9"/>
        <v>-27.099765667936424</v>
      </c>
      <c r="L65" s="91">
        <f t="shared" si="10"/>
        <v>-34.37757905550272</v>
      </c>
      <c r="M65" s="91">
        <f t="shared" si="11"/>
        <v>25.233428599390493</v>
      </c>
      <c r="N65" s="91">
        <f t="shared" si="12"/>
        <v>39.13517453330566</v>
      </c>
      <c r="O65" s="91">
        <f t="shared" si="13"/>
        <v>18.607560439125933</v>
      </c>
      <c r="P65" s="91">
        <f t="shared" si="14"/>
        <v>52.42898660223807</v>
      </c>
      <c r="Q65" s="22">
        <f t="shared" si="15"/>
        <v>91.68531220518395</v>
      </c>
      <c r="R65" s="22">
        <f t="shared" si="16"/>
        <v>84.46286746893759</v>
      </c>
      <c r="S65" s="22">
        <f t="shared" si="17"/>
        <v>-40.128681321031166</v>
      </c>
      <c r="T65" s="22">
        <f t="shared" si="18"/>
        <v>-35.06053000094913</v>
      </c>
      <c r="U65" s="22">
        <f t="shared" si="19"/>
        <v>-104.27979622161638</v>
      </c>
      <c r="V65" s="22">
        <f t="shared" si="1"/>
        <v>-5.665890950289636</v>
      </c>
      <c r="W65" s="22">
        <f t="shared" si="20"/>
        <v>79.81506528227203</v>
      </c>
      <c r="X65" s="22">
        <f t="shared" si="2"/>
        <v>85.95347250269631</v>
      </c>
      <c r="Y65" s="22">
        <f t="shared" si="21"/>
        <v>78.49008003809007</v>
      </c>
      <c r="Z65" s="22">
        <f t="shared" si="3"/>
        <v>48.99860124109266</v>
      </c>
      <c r="AA65" s="22">
        <f t="shared" si="22"/>
        <v>-94.22053451548342</v>
      </c>
      <c r="AB65" s="22">
        <f t="shared" si="4"/>
        <v>-104.01315451716529</v>
      </c>
      <c r="AC65" s="22">
        <f t="shared" si="23"/>
        <v>25.444027059561392</v>
      </c>
      <c r="AD65" s="22">
        <f t="shared" si="5"/>
        <v>58.46169520687846</v>
      </c>
      <c r="AE65" s="22">
        <f t="shared" si="24"/>
        <v>285.72503164222394</v>
      </c>
      <c r="AF65" s="22">
        <f t="shared" si="25"/>
        <v>274.2668015565948</v>
      </c>
      <c r="AG65" s="22">
        <f t="shared" si="26"/>
        <v>53.35103727106474</v>
      </c>
      <c r="AH65" s="22">
        <f t="shared" si="6"/>
        <v>-16.709751011515067</v>
      </c>
      <c r="AI65" s="22">
        <f t="shared" si="27"/>
        <v>105.64740944996223</v>
      </c>
      <c r="AJ65" s="22">
        <f t="shared" si="28"/>
        <v>144.1675735841647</v>
      </c>
    </row>
    <row r="66" spans="1:40" ht="15.75">
      <c r="A66" s="86">
        <v>33786</v>
      </c>
      <c r="B66" s="87">
        <f>'Prices and Spreads'!J$6/100*'Historic Prices'!D48-('Historic Prices'!B41/100*'Prices and Spreads'!J$4*(1+'Historic Prices'!L41/100*7/12))-'Historic Prices'!N48-'Historic Prices'!P48</f>
        <v>62.538588192581926</v>
      </c>
      <c r="C66" s="87">
        <f>'Prices and Spreads'!K$6/100*'Historic Prices'!D48-('Historic Prices'!C43/100*'Prices and Spreads'!K$4*(1+'Historic Prices'!L41/100*5/12))-'Historic Prices'!O48-'Historic Prices'!Q48</f>
        <v>64.03094495284847</v>
      </c>
      <c r="E66" s="86">
        <v>33786</v>
      </c>
      <c r="F66" s="84">
        <f t="shared" si="29"/>
        <v>62.538588192581926</v>
      </c>
      <c r="G66" s="84">
        <f t="shared" si="30"/>
        <v>64.03094495284847</v>
      </c>
      <c r="AK66" s="22"/>
      <c r="AL66" s="22"/>
      <c r="AM66" s="22"/>
      <c r="AN66" s="22"/>
    </row>
    <row r="67" spans="1:40" ht="15.75">
      <c r="A67" s="86">
        <v>33817</v>
      </c>
      <c r="B67" s="87">
        <f>'Prices and Spreads'!J$6/100*'Historic Prices'!D49-('Historic Prices'!B42/100*'Prices and Spreads'!J$4*(1+'Historic Prices'!L42/100*7/12))-'Historic Prices'!N49-'Historic Prices'!P49</f>
        <v>74.81562685292741</v>
      </c>
      <c r="C67" s="87">
        <f>'Prices and Spreads'!K$6/100*'Historic Prices'!D49-('Historic Prices'!C44/100*'Prices and Spreads'!K$4*(1+'Historic Prices'!L42/100*5/12))-'Historic Prices'!O49-'Historic Prices'!Q49</f>
        <v>90.2877174881018</v>
      </c>
      <c r="E67" s="86">
        <v>33817</v>
      </c>
      <c r="F67" s="84">
        <f t="shared" si="29"/>
        <v>74.81562685292741</v>
      </c>
      <c r="G67" s="84">
        <f t="shared" si="30"/>
        <v>90.2877174881018</v>
      </c>
      <c r="H67" t="s">
        <v>253</v>
      </c>
      <c r="I67" s="21" t="e">
        <f>(I30*#REF!+#REF!*'Cattle Returns'!I31+'Cattle Returns'!I32*#REF!+#REF!*'Cattle Returns'!I33+'Cattle Returns'!I34*#REF!+#REF!*'Cattle Returns'!I35+'Cattle Returns'!I36*#REF!+#REF!*'Cattle Returns'!I37+'Cattle Returns'!I38*#REF!+#REF!*'Cattle Returns'!I39+'Cattle Returns'!I40*#REF!+#REF!*'Cattle Returns'!I41)</f>
        <v>#REF!</v>
      </c>
      <c r="J67" s="21" t="e">
        <f>(J30*#REF!+#REF!*'Cattle Returns'!J31+'Cattle Returns'!J32*#REF!+#REF!*'Cattle Returns'!J33+'Cattle Returns'!J34*#REF!+#REF!*'Cattle Returns'!J35+'Cattle Returns'!J36*#REF!+#REF!*'Cattle Returns'!J37+'Cattle Returns'!J38*#REF!+#REF!*'Cattle Returns'!J39+'Cattle Returns'!J40*#REF!+#REF!*'Cattle Returns'!J41)</f>
        <v>#REF!</v>
      </c>
      <c r="K67" s="21" t="e">
        <f>(K30*#REF!+#REF!*'Cattle Returns'!K31+'Cattle Returns'!K32*#REF!+#REF!*'Cattle Returns'!K33+'Cattle Returns'!K34*#REF!+#REF!*'Cattle Returns'!K35+'Cattle Returns'!K36*#REF!+#REF!*'Cattle Returns'!K37+'Cattle Returns'!K38*#REF!+#REF!*'Cattle Returns'!K39+'Cattle Returns'!K40*#REF!+#REF!*'Cattle Returns'!K41)</f>
        <v>#REF!</v>
      </c>
      <c r="L67" s="21" t="e">
        <f>(L30*#REF!+#REF!*'Cattle Returns'!L31+'Cattle Returns'!L32*#REF!+#REF!*'Cattle Returns'!L33+'Cattle Returns'!L34*#REF!+#REF!*'Cattle Returns'!L35+'Cattle Returns'!L36*#REF!+#REF!*'Cattle Returns'!L37+'Cattle Returns'!L38*#REF!+#REF!*'Cattle Returns'!L39+'Cattle Returns'!L40*#REF!+#REF!*'Cattle Returns'!L41)</f>
        <v>#REF!</v>
      </c>
      <c r="M67" s="21" t="e">
        <f>(M30*#REF!+#REF!*'Cattle Returns'!M31+'Cattle Returns'!M32*#REF!+#REF!*'Cattle Returns'!M33+'Cattle Returns'!M34*#REF!+#REF!*'Cattle Returns'!M35+'Cattle Returns'!M36*#REF!+#REF!*'Cattle Returns'!M37+'Cattle Returns'!M38*#REF!+#REF!*'Cattle Returns'!M39+'Cattle Returns'!M40*#REF!+#REF!*'Cattle Returns'!M41)</f>
        <v>#REF!</v>
      </c>
      <c r="N67" s="21" t="e">
        <f>(N30*#REF!+#REF!*'Cattle Returns'!N31+'Cattle Returns'!N32*#REF!+#REF!*'Cattle Returns'!N33+'Cattle Returns'!N34*#REF!+#REF!*'Cattle Returns'!N35+'Cattle Returns'!N36*#REF!+#REF!*'Cattle Returns'!N37+'Cattle Returns'!N38*#REF!+#REF!*'Cattle Returns'!N39+'Cattle Returns'!N40*#REF!+#REF!*'Cattle Returns'!N41)</f>
        <v>#REF!</v>
      </c>
      <c r="O67" s="21" t="e">
        <f>(O30*#REF!+#REF!*'Cattle Returns'!O31+'Cattle Returns'!O32*#REF!+#REF!*'Cattle Returns'!O33+'Cattle Returns'!O34*#REF!+#REF!*'Cattle Returns'!O35+'Cattle Returns'!O36*#REF!+#REF!*'Cattle Returns'!O37+'Cattle Returns'!O38*#REF!+#REF!*'Cattle Returns'!O39+'Cattle Returns'!O40*#REF!+#REF!*'Cattle Returns'!O41)</f>
        <v>#REF!</v>
      </c>
      <c r="P67" s="21" t="e">
        <f>(P30*#REF!+#REF!*'Cattle Returns'!P31+'Cattle Returns'!P32*#REF!+#REF!*'Cattle Returns'!P33+'Cattle Returns'!P34*#REF!+#REF!*'Cattle Returns'!P35+'Cattle Returns'!P36*#REF!+#REF!*'Cattle Returns'!P37+'Cattle Returns'!P38*#REF!+#REF!*'Cattle Returns'!P39+'Cattle Returns'!P40*#REF!+#REF!*'Cattle Returns'!P41)</f>
        <v>#REF!</v>
      </c>
      <c r="Q67" s="21" t="e">
        <f>(Q30*#REF!+#REF!*'Cattle Returns'!Q31+'Cattle Returns'!Q32*#REF!+#REF!*'Cattle Returns'!Q33+'Cattle Returns'!Q34*#REF!+#REF!*'Cattle Returns'!Q35+'Cattle Returns'!Q36*#REF!+#REF!*'Cattle Returns'!Q37+'Cattle Returns'!Q38*#REF!+#REF!*'Cattle Returns'!Q39+'Cattle Returns'!Q40*#REF!+#REF!*'Cattle Returns'!Q41)</f>
        <v>#REF!</v>
      </c>
      <c r="R67" s="21" t="e">
        <f>(R30*#REF!+#REF!*'Cattle Returns'!R31+'Cattle Returns'!R32*#REF!+#REF!*'Cattle Returns'!R33+'Cattle Returns'!R34*#REF!+#REF!*'Cattle Returns'!R35+'Cattle Returns'!R36*#REF!+#REF!*'Cattle Returns'!R37+'Cattle Returns'!R38*#REF!+#REF!*'Cattle Returns'!R39+'Cattle Returns'!R40*#REF!+#REF!*'Cattle Returns'!R41)</f>
        <v>#REF!</v>
      </c>
      <c r="S67" s="21" t="e">
        <f>(S30*#REF!+#REF!*'Cattle Returns'!S31+'Cattle Returns'!S32*#REF!+#REF!*'Cattle Returns'!S33+'Cattle Returns'!S34*#REF!+#REF!*'Cattle Returns'!S35+'Cattle Returns'!S36*#REF!+#REF!*'Cattle Returns'!S37+'Cattle Returns'!S38*#REF!+#REF!*'Cattle Returns'!S39+'Cattle Returns'!S40*#REF!+#REF!*'Cattle Returns'!S41)</f>
        <v>#REF!</v>
      </c>
      <c r="T67" s="21" t="e">
        <f>(T30*#REF!+#REF!*'Cattle Returns'!T31+'Cattle Returns'!T32*#REF!+#REF!*'Cattle Returns'!T33+'Cattle Returns'!T34*#REF!+#REF!*'Cattle Returns'!T35+'Cattle Returns'!T36*#REF!+#REF!*'Cattle Returns'!T37+'Cattle Returns'!T38*#REF!+#REF!*'Cattle Returns'!T39+'Cattle Returns'!T40*#REF!+#REF!*'Cattle Returns'!T41)</f>
        <v>#REF!</v>
      </c>
      <c r="U67" s="21" t="e">
        <f>(U30*#REF!+#REF!*'Cattle Returns'!U31+'Cattle Returns'!U32*#REF!+#REF!*'Cattle Returns'!U33+'Cattle Returns'!U34*#REF!+#REF!*'Cattle Returns'!U35+'Cattle Returns'!U36*#REF!+#REF!*'Cattle Returns'!U37+'Cattle Returns'!U38*#REF!+#REF!*'Cattle Returns'!U39+'Cattle Returns'!U40*#REF!+#REF!*'Cattle Returns'!U41)</f>
        <v>#REF!</v>
      </c>
      <c r="V67" s="21" t="e">
        <f>(V30*#REF!+#REF!*'Cattle Returns'!V31+'Cattle Returns'!V32*#REF!+#REF!*'Cattle Returns'!V33+'Cattle Returns'!V34*#REF!+#REF!*'Cattle Returns'!V35+'Cattle Returns'!V36*#REF!+#REF!*'Cattle Returns'!V37+'Cattle Returns'!V38*#REF!+#REF!*'Cattle Returns'!V39+'Cattle Returns'!V40*#REF!+#REF!*'Cattle Returns'!V41)</f>
        <v>#REF!</v>
      </c>
      <c r="W67" s="21" t="e">
        <f>(W30*#REF!+#REF!*'Cattle Returns'!W31+'Cattle Returns'!W32*#REF!+#REF!*'Cattle Returns'!W33+'Cattle Returns'!W34*#REF!+#REF!*'Cattle Returns'!W35+'Cattle Returns'!W36*#REF!+#REF!*'Cattle Returns'!W37+'Cattle Returns'!W38*#REF!+#REF!*'Cattle Returns'!W39+'Cattle Returns'!W40*#REF!+#REF!*'Cattle Returns'!W41)</f>
        <v>#REF!</v>
      </c>
      <c r="X67" s="21" t="e">
        <f>(X30*#REF!+#REF!*'Cattle Returns'!X31+'Cattle Returns'!X32*#REF!+#REF!*'Cattle Returns'!X33+'Cattle Returns'!X34*#REF!+#REF!*'Cattle Returns'!X35+'Cattle Returns'!X36*#REF!+#REF!*'Cattle Returns'!X37+'Cattle Returns'!X38*#REF!+#REF!*'Cattle Returns'!X39+'Cattle Returns'!X40*#REF!+#REF!*'Cattle Returns'!X41)</f>
        <v>#REF!</v>
      </c>
      <c r="Y67" s="21" t="e">
        <f>(Y30*#REF!+#REF!*'Cattle Returns'!Y31+'Cattle Returns'!Y32*#REF!+#REF!*'Cattle Returns'!Y33+'Cattle Returns'!Y34*#REF!+#REF!*'Cattle Returns'!Y35+'Cattle Returns'!Y36*#REF!+#REF!*'Cattle Returns'!Y37+'Cattle Returns'!Y38*#REF!+#REF!*'Cattle Returns'!Y39+'Cattle Returns'!Y40*#REF!+#REF!*'Cattle Returns'!Y41)</f>
        <v>#REF!</v>
      </c>
      <c r="Z67" s="21" t="e">
        <f>(Z30*#REF!+#REF!*'Cattle Returns'!Z31+'Cattle Returns'!Z32*#REF!+#REF!*'Cattle Returns'!Z33+'Cattle Returns'!Z34*#REF!+#REF!*'Cattle Returns'!Z35+'Cattle Returns'!Z36*#REF!+#REF!*'Cattle Returns'!Z37+'Cattle Returns'!Z38*#REF!+#REF!*'Cattle Returns'!Z39+'Cattle Returns'!Z40*#REF!+#REF!*'Cattle Returns'!Z41)</f>
        <v>#REF!</v>
      </c>
      <c r="AA67" s="21" t="e">
        <f>(AA30*#REF!+#REF!*'Cattle Returns'!AA31+'Cattle Returns'!AA32*#REF!+#REF!*'Cattle Returns'!AA33+'Cattle Returns'!AA34*#REF!+#REF!*'Cattle Returns'!AA35+'Cattle Returns'!AA36*#REF!+#REF!*'Cattle Returns'!AA37+'Cattle Returns'!AA38*#REF!+#REF!*'Cattle Returns'!AA39+'Cattle Returns'!AA40*#REF!+#REF!*'Cattle Returns'!AA41)</f>
        <v>#REF!</v>
      </c>
      <c r="AB67" s="21" t="e">
        <f>(AB30*#REF!+#REF!*'Cattle Returns'!AB31+'Cattle Returns'!AB32*#REF!+#REF!*'Cattle Returns'!AB33+'Cattle Returns'!AB34*#REF!+#REF!*'Cattle Returns'!AB35+'Cattle Returns'!AB36*#REF!+#REF!*'Cattle Returns'!AB37+'Cattle Returns'!AB38*#REF!+#REF!*'Cattle Returns'!AB39+'Cattle Returns'!AB40*#REF!+#REF!*'Cattle Returns'!AB41)</f>
        <v>#REF!</v>
      </c>
      <c r="AC67" s="21" t="e">
        <f>(AC30*#REF!+#REF!*'Cattle Returns'!AC31+'Cattle Returns'!AC32*#REF!+#REF!*'Cattle Returns'!AC33+'Cattle Returns'!AC34*#REF!+#REF!*'Cattle Returns'!AC35+'Cattle Returns'!AC36*#REF!+#REF!*'Cattle Returns'!AC37+'Cattle Returns'!AC38*#REF!+#REF!*'Cattle Returns'!AC39+'Cattle Returns'!AC40*#REF!+#REF!*'Cattle Returns'!AC41)</f>
        <v>#REF!</v>
      </c>
      <c r="AD67" s="21" t="e">
        <f>(AD30*#REF!+#REF!*'Cattle Returns'!AD31+'Cattle Returns'!AD32*#REF!+#REF!*'Cattle Returns'!AD33+'Cattle Returns'!AD34*#REF!+#REF!*'Cattle Returns'!AD35+'Cattle Returns'!AD36*#REF!+#REF!*'Cattle Returns'!AD37+'Cattle Returns'!AD38*#REF!+#REF!*'Cattle Returns'!AD39+'Cattle Returns'!AD40*#REF!+#REF!*'Cattle Returns'!AD41)</f>
        <v>#REF!</v>
      </c>
      <c r="AE67" s="21" t="e">
        <f>(AE30*#REF!+#REF!*'Cattle Returns'!AE31+'Cattle Returns'!AE32*#REF!+#REF!*'Cattle Returns'!AE33+'Cattle Returns'!AE34*#REF!+#REF!*'Cattle Returns'!AE35+'Cattle Returns'!AE36*#REF!+#REF!*'Cattle Returns'!AE37+'Cattle Returns'!AE38*#REF!+#REF!*'Cattle Returns'!AE39+'Cattle Returns'!AE40*#REF!+#REF!*'Cattle Returns'!AE41)</f>
        <v>#REF!</v>
      </c>
      <c r="AF67" s="21" t="e">
        <f>(AF30*#REF!+#REF!*'Cattle Returns'!AF31+'Cattle Returns'!AF32*#REF!+#REF!*'Cattle Returns'!AF33+'Cattle Returns'!AF34*#REF!+#REF!*'Cattle Returns'!AF35+'Cattle Returns'!AF36*#REF!+#REF!*'Cattle Returns'!AF37+'Cattle Returns'!AF38*#REF!+#REF!*'Cattle Returns'!AF39+'Cattle Returns'!AF40*#REF!+#REF!*'Cattle Returns'!AF41)</f>
        <v>#REF!</v>
      </c>
      <c r="AG67" s="21" t="e">
        <f>(AG30*#REF!+#REF!*'Cattle Returns'!AG31+'Cattle Returns'!AG32*#REF!+#REF!*'Cattle Returns'!AG33+'Cattle Returns'!AG34*#REF!+#REF!*'Cattle Returns'!AG35+'Cattle Returns'!AG36*#REF!+#REF!*'Cattle Returns'!AG37+'Cattle Returns'!AG38*#REF!+#REF!*'Cattle Returns'!AG39+'Cattle Returns'!AG40*#REF!+#REF!*'Cattle Returns'!AG41)</f>
        <v>#REF!</v>
      </c>
      <c r="AH67" s="21" t="e">
        <f>(AH30*#REF!+#REF!*'Cattle Returns'!AH31+'Cattle Returns'!AH32*#REF!+#REF!*'Cattle Returns'!AH33+'Cattle Returns'!AH34*#REF!+#REF!*'Cattle Returns'!AH35+'Cattle Returns'!AH36*#REF!+#REF!*'Cattle Returns'!AH37+'Cattle Returns'!AH38*#REF!+#REF!*'Cattle Returns'!AH39+'Cattle Returns'!AH40*#REF!+#REF!*'Cattle Returns'!AH41)</f>
        <v>#REF!</v>
      </c>
      <c r="AI67" s="21" t="e">
        <f>(AI30*#REF!+#REF!*'Cattle Returns'!AI31+'Cattle Returns'!AI32*#REF!+#REF!*'Cattle Returns'!AI33+'Cattle Returns'!AI34*#REF!+#REF!*'Cattle Returns'!AI35+'Cattle Returns'!AI36*#REF!+#REF!*'Cattle Returns'!AI37+'Cattle Returns'!AI38*#REF!+#REF!*'Cattle Returns'!AI39+'Cattle Returns'!AI40*#REF!+#REF!*'Cattle Returns'!AI41)</f>
        <v>#REF!</v>
      </c>
      <c r="AJ67" s="21" t="e">
        <f>(AJ30*#REF!+#REF!*'Cattle Returns'!AJ31+'Cattle Returns'!AJ32*#REF!+#REF!*'Cattle Returns'!AJ33+'Cattle Returns'!AJ34*#REF!+#REF!*'Cattle Returns'!AJ35+'Cattle Returns'!AJ36*#REF!+#REF!*'Cattle Returns'!AJ37+'Cattle Returns'!AJ38*#REF!+#REF!*'Cattle Returns'!AJ39+'Cattle Returns'!AJ40*#REF!+#REF!*'Cattle Returns'!AJ41)</f>
        <v>#REF!</v>
      </c>
      <c r="AK67" s="22"/>
      <c r="AL67" s="22"/>
      <c r="AM67" s="22"/>
      <c r="AN67" s="22"/>
    </row>
    <row r="68" spans="1:40" ht="15.75">
      <c r="A68" s="86">
        <v>33848</v>
      </c>
      <c r="B68" s="87">
        <f>'Prices and Spreads'!J$6/100*'Historic Prices'!D50-('Historic Prices'!B43/100*'Prices and Spreads'!J$4*(1+'Historic Prices'!L43/100*7/12))-'Historic Prices'!N50-'Historic Prices'!P50</f>
        <v>54.73738213907703</v>
      </c>
      <c r="C68" s="87">
        <f>'Prices and Spreads'!K$6/100*'Historic Prices'!D50-('Historic Prices'!C45/100*'Prices and Spreads'!K$4*(1+'Historic Prices'!L43/100*5/12))-'Historic Prices'!O50-'Historic Prices'!Q50</f>
        <v>106.32498370827813</v>
      </c>
      <c r="E68" s="86">
        <v>33848</v>
      </c>
      <c r="F68" s="84">
        <f t="shared" si="29"/>
        <v>54.73738213907703</v>
      </c>
      <c r="G68" s="84">
        <f t="shared" si="30"/>
        <v>106.32498370827813</v>
      </c>
      <c r="AK68" s="22"/>
      <c r="AL68" s="22"/>
      <c r="AM68" s="22"/>
      <c r="AN68" s="22"/>
    </row>
    <row r="69" spans="1:40" ht="15.75">
      <c r="A69" s="86">
        <v>33878</v>
      </c>
      <c r="B69" s="87">
        <f>'Prices and Spreads'!J$6/100*'Historic Prices'!D51-('Historic Prices'!B44/100*'Prices and Spreads'!J$4*(1+'Historic Prices'!L44/100*7/12))-'Historic Prices'!N51-'Historic Prices'!P51</f>
        <v>51.376117354976486</v>
      </c>
      <c r="C69" s="87">
        <f>'Prices and Spreads'!K$6/100*'Historic Prices'!D51-('Historic Prices'!C46/100*'Prices and Spreads'!K$4*(1+'Historic Prices'!L44/100*5/12))-'Historic Prices'!O51-'Historic Prices'!Q51</f>
        <v>110.37465039347668</v>
      </c>
      <c r="E69" s="86">
        <v>33878</v>
      </c>
      <c r="F69" s="84">
        <f t="shared" si="29"/>
        <v>51.376117354976486</v>
      </c>
      <c r="G69" s="84">
        <f t="shared" si="30"/>
        <v>110.37465039347668</v>
      </c>
      <c r="P69" s="2" t="e">
        <f>P67/SUM(#REF!)</f>
        <v>#REF!</v>
      </c>
      <c r="AK69" s="22"/>
      <c r="AL69" s="22"/>
      <c r="AM69" s="22"/>
      <c r="AN69" s="22"/>
    </row>
    <row r="70" spans="1:40" ht="15.75">
      <c r="A70" s="86">
        <v>33909</v>
      </c>
      <c r="B70" s="87">
        <f>'Prices and Spreads'!J$6/100*'Historic Prices'!D52-('Historic Prices'!B45/100*'Prices and Spreads'!J$4*(1+'Historic Prices'!L45/100*7/12))-'Historic Prices'!N52-'Historic Prices'!P52</f>
        <v>70.70939797480082</v>
      </c>
      <c r="C70" s="87">
        <f>'Prices and Spreads'!K$6/100*'Historic Prices'!D52-('Historic Prices'!C47/100*'Prices and Spreads'!K$4*(1+'Historic Prices'!L45/100*5/12))-'Historic Prices'!O52-'Historic Prices'!Q52</f>
        <v>98.39483230373007</v>
      </c>
      <c r="E70" s="86">
        <v>33909</v>
      </c>
      <c r="F70" s="84">
        <f t="shared" si="29"/>
        <v>70.70939797480082</v>
      </c>
      <c r="G70" s="84">
        <f t="shared" si="30"/>
        <v>98.39483230373007</v>
      </c>
      <c r="AK70" s="22"/>
      <c r="AL70" s="22"/>
      <c r="AM70" s="22"/>
      <c r="AN70" s="22"/>
    </row>
    <row r="71" spans="1:40" ht="15.75">
      <c r="A71" s="86">
        <v>33939</v>
      </c>
      <c r="B71" s="87">
        <f>'Prices and Spreads'!J$6/100*'Historic Prices'!D53-('Historic Prices'!B46/100*'Prices and Spreads'!J$4*(1+'Historic Prices'!L46/100*7/12))-'Historic Prices'!N53-'Historic Prices'!P53</f>
        <v>138.09152071962507</v>
      </c>
      <c r="C71" s="87">
        <f>'Prices and Spreads'!K$6/100*'Historic Prices'!D53-('Historic Prices'!C48/100*'Prices and Spreads'!K$4*(1+'Historic Prices'!L46/100*5/12))-'Historic Prices'!O53-'Historic Prices'!Q53</f>
        <v>125.76652769743554</v>
      </c>
      <c r="E71" s="86">
        <v>33939</v>
      </c>
      <c r="F71" s="84">
        <f t="shared" si="29"/>
        <v>138.09152071962507</v>
      </c>
      <c r="G71" s="84">
        <f t="shared" si="30"/>
        <v>125.76652769743554</v>
      </c>
      <c r="AK71" s="22"/>
      <c r="AL71" s="22"/>
      <c r="AM71" s="22"/>
      <c r="AN71" s="22"/>
    </row>
    <row r="72" spans="1:7" ht="15.75">
      <c r="A72" s="86">
        <v>33970</v>
      </c>
      <c r="B72" s="87">
        <f>'Prices and Spreads'!J$6/100*'Historic Prices'!D54-('Historic Prices'!B47/100*'Prices and Spreads'!J$4*(1+'Historic Prices'!L47/100*7/12))-'Historic Prices'!N54-'Historic Prices'!P54</f>
        <v>128.1085089355245</v>
      </c>
      <c r="C72" s="87">
        <f>'Prices and Spreads'!K$6/100*'Historic Prices'!D54-('Historic Prices'!C49/100*'Prices and Spreads'!K$4*(1+'Historic Prices'!L47/100*5/12))-'Historic Prices'!O54-'Historic Prices'!Q54</f>
        <v>104.11942300684893</v>
      </c>
      <c r="E72" s="86">
        <v>33970</v>
      </c>
      <c r="F72" s="84">
        <f t="shared" si="29"/>
        <v>128.1085089355245</v>
      </c>
      <c r="G72" s="84">
        <f t="shared" si="30"/>
        <v>104.11942300684893</v>
      </c>
    </row>
    <row r="73" spans="1:7" ht="15.75">
      <c r="A73" s="86">
        <v>34001</v>
      </c>
      <c r="B73" s="87">
        <f>'Prices and Spreads'!J$6/100*'Historic Prices'!D55-('Historic Prices'!B48/100*'Prices and Spreads'!J$4*(1+'Historic Prices'!L48/100*7/12))-'Historic Prices'!N55-'Historic Prices'!P55</f>
        <v>150.36027569969878</v>
      </c>
      <c r="C73" s="87">
        <f>'Prices and Spreads'!K$6/100*'Historic Prices'!D55-('Historic Prices'!C50/100*'Prices and Spreads'!K$4*(1+'Historic Prices'!L48/100*5/12))-'Historic Prices'!O55-'Historic Prices'!Q55</f>
        <v>156.87470575818145</v>
      </c>
      <c r="E73" s="86">
        <v>34001</v>
      </c>
      <c r="F73" s="84">
        <f t="shared" si="29"/>
        <v>150.36027569969878</v>
      </c>
      <c r="G73" s="84">
        <f t="shared" si="30"/>
        <v>156.87470575818145</v>
      </c>
    </row>
    <row r="74" spans="1:7" ht="15.75">
      <c r="A74" s="86">
        <v>34029</v>
      </c>
      <c r="B74" s="87">
        <f>'Prices and Spreads'!J$6/100*'Historic Prices'!D56-('Historic Prices'!B49/100*'Prices and Spreads'!J$4*(1+'Historic Prices'!L49/100*7/12))-'Historic Prices'!N56-'Historic Prices'!P56</f>
        <v>181.52901076532632</v>
      </c>
      <c r="C74" s="87">
        <f>'Prices and Spreads'!K$6/100*'Historic Prices'!D56-('Historic Prices'!C51/100*'Prices and Spreads'!K$4*(1+'Historic Prices'!L49/100*5/12))-'Historic Prices'!O56-'Historic Prices'!Q56</f>
        <v>201.03052521051433</v>
      </c>
      <c r="E74" s="86">
        <v>34029</v>
      </c>
      <c r="F74" s="84">
        <f t="shared" si="29"/>
        <v>181.52901076532632</v>
      </c>
      <c r="G74" s="84">
        <f t="shared" si="30"/>
        <v>201.03052521051433</v>
      </c>
    </row>
    <row r="75" spans="1:7" ht="15.75">
      <c r="A75" s="86">
        <v>34060</v>
      </c>
      <c r="B75" s="87">
        <f>'Prices and Spreads'!J$6/100*'Historic Prices'!D57-('Historic Prices'!B50/100*'Prices and Spreads'!J$4*(1+'Historic Prices'!L50/100*7/12))-'Historic Prices'!N57-'Historic Prices'!P57</f>
        <v>177.12086916126046</v>
      </c>
      <c r="C75" s="87">
        <f>'Prices and Spreads'!K$6/100*'Historic Prices'!D57-('Historic Prices'!C52/100*'Prices and Spreads'!K$4*(1+'Historic Prices'!L50/100*5/12))-'Historic Prices'!O57-'Historic Prices'!Q57</f>
        <v>176.7392860158491</v>
      </c>
      <c r="E75" s="86">
        <v>34060</v>
      </c>
      <c r="F75" s="84">
        <f t="shared" si="29"/>
        <v>177.12086916126046</v>
      </c>
      <c r="G75" s="84">
        <f t="shared" si="30"/>
        <v>176.7392860158491</v>
      </c>
    </row>
    <row r="76" spans="1:7" ht="15.75">
      <c r="A76" s="86">
        <v>34090</v>
      </c>
      <c r="B76" s="87">
        <f>'Prices and Spreads'!J$6/100*'Historic Prices'!D58-('Historic Prices'!B51/100*'Prices and Spreads'!J$4*(1+'Historic Prices'!L51/100*7/12))-'Historic Prices'!N58-'Historic Prices'!P58</f>
        <v>188.11820612746928</v>
      </c>
      <c r="C76" s="87">
        <f>'Prices and Spreads'!K$6/100*'Historic Prices'!D58-('Historic Prices'!C53/100*'Prices and Spreads'!K$4*(1+'Historic Prices'!L51/100*5/12))-'Historic Prices'!O58-'Historic Prices'!Q58</f>
        <v>144.71357070651658</v>
      </c>
      <c r="E76" s="86">
        <v>34090</v>
      </c>
      <c r="F76" s="84">
        <f t="shared" si="29"/>
        <v>188.11820612746928</v>
      </c>
      <c r="G76" s="84">
        <f t="shared" si="30"/>
        <v>144.71357070651658</v>
      </c>
    </row>
    <row r="77" spans="1:7" ht="15.75">
      <c r="A77" s="86">
        <v>34121</v>
      </c>
      <c r="B77" s="87">
        <f>'Prices and Spreads'!J$6/100*'Historic Prices'!D59-('Historic Prices'!B52/100*'Prices and Spreads'!J$4*(1+'Historic Prices'!L52/100*7/12))-'Historic Prices'!N59-'Historic Prices'!P59</f>
        <v>125.14332232025325</v>
      </c>
      <c r="C77" s="87">
        <f>'Prices and Spreads'!K$6/100*'Historic Prices'!D59-('Historic Prices'!C54/100*'Prices and Spreads'!K$4*(1+'Historic Prices'!L52/100*5/12))-'Historic Prices'!O59-'Historic Prices'!Q59</f>
        <v>89.17607937918326</v>
      </c>
      <c r="E77" s="86">
        <v>34121</v>
      </c>
      <c r="F77" s="84">
        <f t="shared" si="29"/>
        <v>125.14332232025325</v>
      </c>
      <c r="G77" s="84">
        <f t="shared" si="30"/>
        <v>89.17607937918326</v>
      </c>
    </row>
    <row r="78" spans="1:7" ht="15.75">
      <c r="A78" s="86">
        <v>34151</v>
      </c>
      <c r="B78" s="87">
        <f>'Prices and Spreads'!J$6/100*'Historic Prices'!D60-('Historic Prices'!B53/100*'Prices and Spreads'!J$4*(1+'Historic Prices'!L53/100*7/12))-'Historic Prices'!N60-'Historic Prices'!P60</f>
        <v>87.6611480418467</v>
      </c>
      <c r="C78" s="87">
        <f>'Prices and Spreads'!K$6/100*'Historic Prices'!D60-('Historic Prices'!C55/100*'Prices and Spreads'!K$4*(1+'Historic Prices'!L53/100*5/12))-'Historic Prices'!O60-'Historic Prices'!Q60</f>
        <v>60.24632022318454</v>
      </c>
      <c r="E78" s="86">
        <v>34151</v>
      </c>
      <c r="F78" s="84">
        <f t="shared" si="29"/>
        <v>87.6611480418467</v>
      </c>
      <c r="G78" s="84">
        <f t="shared" si="30"/>
        <v>60.24632022318454</v>
      </c>
    </row>
    <row r="79" spans="1:7" ht="15.75">
      <c r="A79" s="86">
        <v>34182</v>
      </c>
      <c r="B79" s="87">
        <f>'Prices and Spreads'!J$6/100*'Historic Prices'!D61-('Historic Prices'!B54/100*'Prices and Spreads'!J$4*(1+'Historic Prices'!L54/100*7/12))-'Historic Prices'!N61-'Historic Prices'!P61</f>
        <v>54.96588602649882</v>
      </c>
      <c r="C79" s="87">
        <f>'Prices and Spreads'!K$6/100*'Historic Prices'!D61-('Historic Prices'!C56/100*'Prices and Spreads'!K$4*(1+'Historic Prices'!L54/100*5/12))-'Historic Prices'!O61-'Historic Prices'!Q61</f>
        <v>56.5871835951006</v>
      </c>
      <c r="E79" s="86">
        <v>34182</v>
      </c>
      <c r="F79" s="84">
        <f t="shared" si="29"/>
        <v>54.96588602649882</v>
      </c>
      <c r="G79" s="84">
        <f t="shared" si="30"/>
        <v>56.5871835951006</v>
      </c>
    </row>
    <row r="80" spans="1:7" ht="15.75">
      <c r="A80" s="86">
        <v>34213</v>
      </c>
      <c r="B80" s="87">
        <f>'Prices and Spreads'!J$6/100*'Historic Prices'!D62-('Historic Prices'!B55/100*'Prices and Spreads'!J$4*(1+'Historic Prices'!L55/100*7/12))-'Historic Prices'!N62-'Historic Prices'!P62</f>
        <v>29.873517461608742</v>
      </c>
      <c r="C80" s="87">
        <f>'Prices and Spreads'!K$6/100*'Historic Prices'!D62-('Historic Prices'!C57/100*'Prices and Spreads'!K$4*(1+'Historic Prices'!L55/100*5/12))-'Historic Prices'!O62-'Historic Prices'!Q62</f>
        <v>28.438002473141182</v>
      </c>
      <c r="E80" s="86">
        <v>34213</v>
      </c>
      <c r="F80" s="84">
        <f t="shared" si="29"/>
        <v>29.873517461608742</v>
      </c>
      <c r="G80" s="84">
        <f t="shared" si="30"/>
        <v>28.438002473141182</v>
      </c>
    </row>
    <row r="81" spans="1:7" ht="15.75">
      <c r="A81" s="86">
        <v>34243</v>
      </c>
      <c r="B81" s="87">
        <f>'Prices and Spreads'!J$6/100*'Historic Prices'!D63-('Historic Prices'!B56/100*'Prices and Spreads'!J$4*(1+'Historic Prices'!L56/100*7/12))-'Historic Prices'!N63-'Historic Prices'!P63</f>
        <v>-20.49328751610426</v>
      </c>
      <c r="C81" s="87">
        <f>'Prices and Spreads'!K$6/100*'Historic Prices'!D63-('Historic Prices'!C58/100*'Prices and Spreads'!K$4*(1+'Historic Prices'!L56/100*5/12))-'Historic Prices'!O63-'Historic Prices'!Q63</f>
        <v>-3.5589469043280246</v>
      </c>
      <c r="E81" s="86">
        <v>34243</v>
      </c>
      <c r="F81" s="84">
        <f t="shared" si="29"/>
        <v>-20.49328751610426</v>
      </c>
      <c r="G81" s="84">
        <f t="shared" si="30"/>
        <v>-3.5589469043280246</v>
      </c>
    </row>
    <row r="82" spans="1:7" ht="15.75">
      <c r="A82" s="86">
        <v>34274</v>
      </c>
      <c r="B82" s="87">
        <f>'Prices and Spreads'!J$6/100*'Historic Prices'!D64-('Historic Prices'!B57/100*'Prices and Spreads'!J$4*(1+'Historic Prices'!L57/100*7/12))-'Historic Prices'!N64-'Historic Prices'!P64</f>
        <v>-34.721520930383974</v>
      </c>
      <c r="C82" s="87">
        <f>'Prices and Spreads'!K$6/100*'Historic Prices'!D64-('Historic Prices'!C59/100*'Prices and Spreads'!K$4*(1+'Historic Prices'!L57/100*5/12))-'Historic Prices'!O64-'Historic Prices'!Q64</f>
        <v>-16.818102982384545</v>
      </c>
      <c r="E82" s="86">
        <v>34274</v>
      </c>
      <c r="F82" s="84">
        <f t="shared" si="29"/>
        <v>-34.721520930383974</v>
      </c>
      <c r="G82" s="84">
        <f t="shared" si="30"/>
        <v>-16.818102982384545</v>
      </c>
    </row>
    <row r="83" spans="1:7" ht="15.75">
      <c r="A83" s="86">
        <v>34304</v>
      </c>
      <c r="B83" s="87">
        <f>'Prices and Spreads'!J$6/100*'Historic Prices'!D65-('Historic Prices'!B58/100*'Prices and Spreads'!J$4*(1+'Historic Prices'!L58/100*7/12))-'Historic Prices'!N65-'Historic Prices'!P65</f>
        <v>-27.099765667936424</v>
      </c>
      <c r="C83" s="87">
        <f>'Prices and Spreads'!K$6/100*'Historic Prices'!D65-('Historic Prices'!C60/100*'Prices and Spreads'!K$4*(1+'Historic Prices'!L58/100*5/12))-'Historic Prices'!O65-'Historic Prices'!Q65</f>
        <v>-34.37757905550272</v>
      </c>
      <c r="E83" s="86">
        <v>34304</v>
      </c>
      <c r="F83" s="84">
        <f t="shared" si="29"/>
        <v>-27.099765667936424</v>
      </c>
      <c r="G83" s="84">
        <f t="shared" si="30"/>
        <v>-34.37757905550272</v>
      </c>
    </row>
    <row r="84" spans="1:7" ht="15.75">
      <c r="A84" s="86">
        <v>34335</v>
      </c>
      <c r="B84" s="87">
        <f>'Prices and Spreads'!J$6/100*'Historic Prices'!D66-('Historic Prices'!B59/100*'Prices and Spreads'!J$4*(1+'Historic Prices'!L59/100*7/12))-'Historic Prices'!N66-'Historic Prices'!P66</f>
        <v>-38.34974428759247</v>
      </c>
      <c r="C84" s="87">
        <f>'Prices and Spreads'!K$6/100*'Historic Prices'!D66-('Historic Prices'!C61/100*'Prices and Spreads'!K$4*(1+'Historic Prices'!L59/100*5/12))-'Historic Prices'!O66-'Historic Prices'!Q66</f>
        <v>-14.289368320812258</v>
      </c>
      <c r="E84" s="86">
        <v>34335</v>
      </c>
      <c r="F84" s="84">
        <f t="shared" si="29"/>
        <v>-38.34974428759247</v>
      </c>
      <c r="G84" s="84">
        <f t="shared" si="30"/>
        <v>-14.289368320812258</v>
      </c>
    </row>
    <row r="85" spans="1:7" ht="15.75">
      <c r="A85" s="86">
        <v>34366</v>
      </c>
      <c r="B85" s="87">
        <f>'Prices and Spreads'!J$6/100*'Historic Prices'!D67-('Historic Prices'!B60/100*'Prices and Spreads'!J$4*(1+'Historic Prices'!L60/100*7/12))-'Historic Prices'!N67-'Historic Prices'!P67</f>
        <v>-17.835783433317516</v>
      </c>
      <c r="C85" s="87">
        <f>'Prices and Spreads'!K$6/100*'Historic Prices'!D67-('Historic Prices'!C62/100*'Prices and Spreads'!K$4*(1+'Historic Prices'!L60/100*5/12))-'Historic Prices'!O67-'Historic Prices'!Q67</f>
        <v>-4.292405337603441</v>
      </c>
      <c r="E85" s="86">
        <v>34366</v>
      </c>
      <c r="F85" s="84">
        <f t="shared" si="29"/>
        <v>-17.835783433317516</v>
      </c>
      <c r="G85" s="84">
        <f t="shared" si="30"/>
        <v>-4.292405337603441</v>
      </c>
    </row>
    <row r="86" spans="1:7" ht="15.75">
      <c r="A86" s="86">
        <v>34394</v>
      </c>
      <c r="B86" s="87">
        <f>'Prices and Spreads'!J$6/100*'Historic Prices'!D68-('Historic Prices'!B61/100*'Prices and Spreads'!J$4*(1+'Historic Prices'!L61/100*7/12))-'Historic Prices'!N68-'Historic Prices'!P68</f>
        <v>22.896571746785526</v>
      </c>
      <c r="C86" s="87">
        <f>'Prices and Spreads'!K$6/100*'Historic Prices'!D68-('Historic Prices'!C63/100*'Prices and Spreads'!K$4*(1+'Historic Prices'!L61/100*5/12))-'Historic Prices'!O68-'Historic Prices'!Q68</f>
        <v>38.432135713290805</v>
      </c>
      <c r="E86" s="86">
        <v>34394</v>
      </c>
      <c r="F86" s="84">
        <f t="shared" si="29"/>
        <v>22.896571746785526</v>
      </c>
      <c r="G86" s="84">
        <f t="shared" si="30"/>
        <v>38.432135713290805</v>
      </c>
    </row>
    <row r="87" spans="1:7" ht="15.75">
      <c r="A87" s="86">
        <v>34425</v>
      </c>
      <c r="B87" s="87">
        <f>'Prices and Spreads'!J$6/100*'Historic Prices'!D69-('Historic Prices'!B62/100*'Prices and Spreads'!J$4*(1+'Historic Prices'!L62/100*7/12))-'Historic Prices'!N69-'Historic Prices'!P69</f>
        <v>24.698551598095264</v>
      </c>
      <c r="C87" s="87">
        <f>'Prices and Spreads'!K$6/100*'Historic Prices'!D69-('Historic Prices'!C64/100*'Prices and Spreads'!K$4*(1+'Historic Prices'!L62/100*5/12))-'Historic Prices'!O69-'Historic Prices'!Q69</f>
        <v>34.607578402519394</v>
      </c>
      <c r="E87" s="86">
        <v>34425</v>
      </c>
      <c r="F87" s="84">
        <f t="shared" si="29"/>
        <v>24.698551598095264</v>
      </c>
      <c r="G87" s="84">
        <f t="shared" si="30"/>
        <v>34.607578402519394</v>
      </c>
    </row>
    <row r="88" spans="1:7" ht="15.75">
      <c r="A88" s="86">
        <v>34455</v>
      </c>
      <c r="B88" s="87">
        <f>'Prices and Spreads'!J$6/100*'Historic Prices'!D70-('Historic Prices'!B63/100*'Prices and Spreads'!J$4*(1+'Historic Prices'!L63/100*7/12))-'Historic Prices'!N70-'Historic Prices'!P70</f>
        <v>-40.54499256362931</v>
      </c>
      <c r="C88" s="87">
        <f>'Prices and Spreads'!K$6/100*'Historic Prices'!D70-('Historic Prices'!C65/100*'Prices and Spreads'!K$4*(1+'Historic Prices'!L63/100*5/12))-'Historic Prices'!O70-'Historic Prices'!Q70</f>
        <v>-62.097211034733775</v>
      </c>
      <c r="E88" s="86">
        <v>34455</v>
      </c>
      <c r="F88" s="84">
        <f t="shared" si="29"/>
        <v>-40.54499256362931</v>
      </c>
      <c r="G88" s="84">
        <f t="shared" si="30"/>
        <v>-62.097211034733775</v>
      </c>
    </row>
    <row r="89" spans="1:7" ht="15.75">
      <c r="A89" s="86">
        <v>34486</v>
      </c>
      <c r="B89" s="87">
        <f>'Prices and Spreads'!J$6/100*'Historic Prices'!D71-('Historic Prices'!B64/100*'Prices and Spreads'!J$4*(1+'Historic Prices'!L64/100*7/12))-'Historic Prices'!N71-'Historic Prices'!P71</f>
        <v>-87.27512159324999</v>
      </c>
      <c r="C89" s="87">
        <f>'Prices and Spreads'!K$6/100*'Historic Prices'!D71-('Historic Prices'!C66/100*'Prices and Spreads'!K$4*(1+'Historic Prices'!L64/100*5/12))-'Historic Prices'!O71-'Historic Prices'!Q71</f>
        <v>-103.93081078078296</v>
      </c>
      <c r="E89" s="86">
        <v>34486</v>
      </c>
      <c r="F89" s="84">
        <f t="shared" si="29"/>
        <v>-87.27512159324999</v>
      </c>
      <c r="G89" s="84">
        <f t="shared" si="30"/>
        <v>-103.93081078078296</v>
      </c>
    </row>
    <row r="90" spans="1:7" ht="15.75">
      <c r="A90" s="86">
        <v>34516</v>
      </c>
      <c r="B90" s="87">
        <f>'Prices and Spreads'!J$6/100*'Historic Prices'!D72-('Historic Prices'!B65/100*'Prices and Spreads'!J$4*(1+'Historic Prices'!L65/100*7/12))-'Historic Prices'!N72-'Historic Prices'!P72</f>
        <v>-64.21106928993913</v>
      </c>
      <c r="C90" s="87">
        <f>'Prices and Spreads'!K$6/100*'Historic Prices'!D72-('Historic Prices'!C67/100*'Prices and Spreads'!K$4*(1+'Historic Prices'!L65/100*5/12))-'Historic Prices'!O72-'Historic Prices'!Q72</f>
        <v>-55.48488982723245</v>
      </c>
      <c r="E90" s="86">
        <v>34516</v>
      </c>
      <c r="F90" s="84">
        <f t="shared" si="29"/>
        <v>-64.21106928993913</v>
      </c>
      <c r="G90" s="84">
        <f t="shared" si="30"/>
        <v>-55.48488982723245</v>
      </c>
    </row>
    <row r="91" spans="1:7" ht="15.75">
      <c r="A91" s="86">
        <v>34547</v>
      </c>
      <c r="B91" s="87">
        <f>'Prices and Spreads'!J$6/100*'Historic Prices'!D73-('Historic Prices'!B66/100*'Prices and Spreads'!J$4*(1+'Historic Prices'!L66/100*7/12))-'Historic Prices'!N73-'Historic Prices'!P73</f>
        <v>-34.1245179730071</v>
      </c>
      <c r="C91" s="87">
        <f>'Prices and Spreads'!K$6/100*'Historic Prices'!D73-('Historic Prices'!C68/100*'Prices and Spreads'!K$4*(1+'Historic Prices'!L66/100*5/12))-'Historic Prices'!O73-'Historic Prices'!Q73</f>
        <v>-27.131046998681953</v>
      </c>
      <c r="E91" s="86">
        <v>34547</v>
      </c>
      <c r="F91" s="84">
        <f t="shared" si="29"/>
        <v>-34.1245179730071</v>
      </c>
      <c r="G91" s="84">
        <f t="shared" si="30"/>
        <v>-27.131046998681953</v>
      </c>
    </row>
    <row r="92" spans="1:7" ht="15.75">
      <c r="A92" s="86">
        <v>34578</v>
      </c>
      <c r="B92" s="87">
        <f>'Prices and Spreads'!J$6/100*'Historic Prices'!D74-('Historic Prices'!B67/100*'Prices and Spreads'!J$4*(1+'Historic Prices'!L67/100*7/12))-'Historic Prices'!N74-'Historic Prices'!P74</f>
        <v>-61.429196507971625</v>
      </c>
      <c r="C92" s="87">
        <f>'Prices and Spreads'!K$6/100*'Historic Prices'!D74-('Historic Prices'!C69/100*'Prices and Spreads'!K$4*(1+'Historic Prices'!L67/100*5/12))-'Historic Prices'!O74-'Historic Prices'!Q74</f>
        <v>-29.182115339371876</v>
      </c>
      <c r="E92" s="86">
        <v>34578</v>
      </c>
      <c r="F92" s="84">
        <f t="shared" si="29"/>
        <v>-61.429196507971625</v>
      </c>
      <c r="G92" s="84">
        <f t="shared" si="30"/>
        <v>-29.182115339371876</v>
      </c>
    </row>
    <row r="93" spans="1:7" ht="15.75">
      <c r="A93" s="86">
        <v>34608</v>
      </c>
      <c r="B93" s="87">
        <f>'Prices and Spreads'!J$6/100*'Historic Prices'!D75-('Historic Prices'!B68/100*'Prices and Spreads'!J$4*(1+'Historic Prices'!L68/100*7/12))-'Historic Prices'!N75-'Historic Prices'!P75</f>
        <v>-69.64317816793644</v>
      </c>
      <c r="C93" s="87">
        <f>'Prices and Spreads'!K$6/100*'Historic Prices'!D75-('Historic Prices'!C70/100*'Prices and Spreads'!K$4*(1+'Historic Prices'!L68/100*5/12))-'Historic Prices'!O75-'Historic Prices'!Q75</f>
        <v>25.010802904613243</v>
      </c>
      <c r="E93" s="86">
        <v>34608</v>
      </c>
      <c r="F93" s="84">
        <f t="shared" si="29"/>
        <v>-69.64317816793644</v>
      </c>
      <c r="G93" s="84">
        <f t="shared" si="30"/>
        <v>25.010802904613243</v>
      </c>
    </row>
    <row r="94" spans="1:7" ht="15.75">
      <c r="A94" s="86">
        <v>34639</v>
      </c>
      <c r="B94" s="87">
        <f>'Prices and Spreads'!J$6/100*'Historic Prices'!D76-('Historic Prices'!B69/100*'Prices and Spreads'!J$4*(1+'Historic Prices'!L69/100*7/12))-'Historic Prices'!N76-'Historic Prices'!P76</f>
        <v>-26.04784089679518</v>
      </c>
      <c r="C94" s="87">
        <f>'Prices and Spreads'!K$6/100*'Historic Prices'!D76-('Historic Prices'!C71/100*'Prices and Spreads'!K$4*(1+'Historic Prices'!L69/100*5/12))-'Historic Prices'!O76-'Historic Prices'!Q76</f>
        <v>67.50875543890093</v>
      </c>
      <c r="E94" s="86">
        <v>34639</v>
      </c>
      <c r="F94" s="84">
        <f t="shared" si="29"/>
        <v>-26.04784089679518</v>
      </c>
      <c r="G94" s="84">
        <f t="shared" si="30"/>
        <v>67.50875543890093</v>
      </c>
    </row>
    <row r="95" spans="1:7" ht="15.75">
      <c r="A95" s="86">
        <v>34669</v>
      </c>
      <c r="B95" s="87">
        <f>'Prices and Spreads'!J$6/100*'Historic Prices'!D77-('Historic Prices'!B70/100*'Prices and Spreads'!J$4*(1+'Historic Prices'!L70/100*7/12))-'Historic Prices'!N77-'Historic Prices'!P77</f>
        <v>25.233428599390493</v>
      </c>
      <c r="C95" s="87">
        <f>'Prices and Spreads'!K$6/100*'Historic Prices'!D77-('Historic Prices'!C72/100*'Prices and Spreads'!K$4*(1+'Historic Prices'!L70/100*5/12))-'Historic Prices'!O77-'Historic Prices'!Q77</f>
        <v>39.13517453330566</v>
      </c>
      <c r="E95" s="86">
        <v>34669</v>
      </c>
      <c r="F95" s="84">
        <f t="shared" si="29"/>
        <v>25.233428599390493</v>
      </c>
      <c r="G95" s="84">
        <f t="shared" si="30"/>
        <v>39.13517453330566</v>
      </c>
    </row>
    <row r="96" spans="1:7" ht="15.75">
      <c r="A96" s="86">
        <v>34700</v>
      </c>
      <c r="B96" s="87">
        <f>'Prices and Spreads'!J$6/100*'Historic Prices'!D78-('Historic Prices'!B71/100*'Prices and Spreads'!J$4*(1+'Historic Prices'!L71/100*7/12))-'Historic Prices'!N78-'Historic Prices'!P78</f>
        <v>93.71763812147441</v>
      </c>
      <c r="C96" s="87">
        <f>'Prices and Spreads'!K$6/100*'Historic Prices'!D78-('Historic Prices'!C73/100*'Prices and Spreads'!K$4*(1+'Historic Prices'!L71/100*5/12))-'Historic Prices'!O78-'Historic Prices'!Q78</f>
        <v>93.99897137520762</v>
      </c>
      <c r="E96" s="86">
        <v>34700</v>
      </c>
      <c r="F96" s="84">
        <f t="shared" si="29"/>
        <v>93.71763812147441</v>
      </c>
      <c r="G96" s="84">
        <f t="shared" si="30"/>
        <v>93.99897137520762</v>
      </c>
    </row>
    <row r="97" spans="1:7" ht="15.75">
      <c r="A97" s="86">
        <v>34731</v>
      </c>
      <c r="B97" s="87">
        <f>'Prices and Spreads'!J$6/100*'Historic Prices'!D79-('Historic Prices'!B72/100*'Prices and Spreads'!J$4*(1+'Historic Prices'!L72/100*7/12))-'Historic Prices'!N79-'Historic Prices'!P79</f>
        <v>81.306349686192</v>
      </c>
      <c r="C97" s="87">
        <f>'Prices and Spreads'!K$6/100*'Historic Prices'!D79-('Historic Prices'!C74/100*'Prices and Spreads'!K$4*(1+'Historic Prices'!L72/100*5/12))-'Historic Prices'!O79-'Historic Prices'!Q79</f>
        <v>126.12190358964571</v>
      </c>
      <c r="E97" s="86">
        <v>34731</v>
      </c>
      <c r="F97" s="84">
        <f t="shared" si="29"/>
        <v>81.306349686192</v>
      </c>
      <c r="G97" s="84">
        <f t="shared" si="30"/>
        <v>126.12190358964571</v>
      </c>
    </row>
    <row r="98" spans="1:7" ht="15.75">
      <c r="A98" s="86">
        <v>34759</v>
      </c>
      <c r="B98" s="87">
        <f>'Prices and Spreads'!J$6/100*'Historic Prices'!D80-('Historic Prices'!B73/100*'Prices and Spreads'!J$4*(1+'Historic Prices'!L73/100*7/12))-'Historic Prices'!N80-'Historic Prices'!P80</f>
        <v>46.8547969005391</v>
      </c>
      <c r="C98" s="87">
        <f>'Prices and Spreads'!K$6/100*'Historic Prices'!D80-('Historic Prices'!C75/100*'Prices and Spreads'!K$4*(1+'Historic Prices'!L73/100*5/12))-'Historic Prices'!O80-'Historic Prices'!Q80</f>
        <v>94.38257158311113</v>
      </c>
      <c r="E98" s="86">
        <v>34759</v>
      </c>
      <c r="F98" s="84">
        <f t="shared" si="29"/>
        <v>46.8547969005391</v>
      </c>
      <c r="G98" s="84">
        <f t="shared" si="30"/>
        <v>94.38257158311113</v>
      </c>
    </row>
    <row r="99" spans="1:7" ht="15.75">
      <c r="A99" s="86">
        <v>34790</v>
      </c>
      <c r="B99" s="87">
        <f>'Prices and Spreads'!J$6/100*'Historic Prices'!D81-('Historic Prices'!B74/100*'Prices and Spreads'!J$4*(1+'Historic Prices'!L74/100*7/12))-'Historic Prices'!N81-'Historic Prices'!P81</f>
        <v>50.749650456189954</v>
      </c>
      <c r="C99" s="87">
        <f>'Prices and Spreads'!K$6/100*'Historic Prices'!D81-('Historic Prices'!C76/100*'Prices and Spreads'!K$4*(1+'Historic Prices'!L74/100*5/12))-'Historic Prices'!O81-'Historic Prices'!Q81</f>
        <v>30.129225222916332</v>
      </c>
      <c r="E99" s="86">
        <v>34790</v>
      </c>
      <c r="F99" s="84">
        <f t="shared" si="29"/>
        <v>50.749650456189954</v>
      </c>
      <c r="G99" s="84">
        <f t="shared" si="30"/>
        <v>30.129225222916332</v>
      </c>
    </row>
    <row r="100" spans="1:7" ht="15.75">
      <c r="A100" s="86">
        <v>34820</v>
      </c>
      <c r="B100" s="87">
        <f>'Prices and Spreads'!J$6/100*'Historic Prices'!D82-('Historic Prices'!B75/100*'Prices and Spreads'!J$4*(1+'Historic Prices'!L75/100*7/12))-'Historic Prices'!N82-'Historic Prices'!P82</f>
        <v>6.562647287864024</v>
      </c>
      <c r="C100" s="87">
        <f>'Prices and Spreads'!K$6/100*'Historic Prices'!D82-('Historic Prices'!C77/100*'Prices and Spreads'!K$4*(1+'Historic Prices'!L75/100*5/12))-'Historic Prices'!O82-'Historic Prices'!Q82</f>
        <v>-23.51595642250271</v>
      </c>
      <c r="E100" s="86">
        <v>34820</v>
      </c>
      <c r="F100" s="84">
        <f t="shared" si="29"/>
        <v>6.562647287864024</v>
      </c>
      <c r="G100" s="84">
        <f t="shared" si="30"/>
        <v>-23.51595642250271</v>
      </c>
    </row>
    <row r="101" spans="1:7" ht="15.75">
      <c r="A101" s="86">
        <v>34851</v>
      </c>
      <c r="B101" s="87">
        <f>'Prices and Spreads'!J$6/100*'Historic Prices'!D83-('Historic Prices'!B76/100*'Prices and Spreads'!J$4*(1+'Historic Prices'!L76/100*7/12))-'Historic Prices'!N83-'Historic Prices'!P83</f>
        <v>-21.569064823188285</v>
      </c>
      <c r="C101" s="87">
        <f>'Prices and Spreads'!K$6/100*'Historic Prices'!D83-('Historic Prices'!C78/100*'Prices and Spreads'!K$4*(1+'Historic Prices'!L76/100*5/12))-'Historic Prices'!O83-'Historic Prices'!Q83</f>
        <v>-28.22904048487335</v>
      </c>
      <c r="E101" s="86">
        <v>34851</v>
      </c>
      <c r="F101" s="84">
        <f aca="true" t="shared" si="31" ref="F101:F164">B101</f>
        <v>-21.569064823188285</v>
      </c>
      <c r="G101" s="84">
        <f aca="true" t="shared" si="32" ref="G101:G164">C101</f>
        <v>-28.22904048487335</v>
      </c>
    </row>
    <row r="102" spans="1:7" ht="15.75">
      <c r="A102" s="86">
        <v>34881</v>
      </c>
      <c r="B102" s="87">
        <f>'Prices and Spreads'!J$6/100*'Historic Prices'!D84-('Historic Prices'!B77/100*'Prices and Spreads'!J$4*(1+'Historic Prices'!L77/100*7/12))-'Historic Prices'!N84-'Historic Prices'!P84</f>
        <v>-48.45852444210723</v>
      </c>
      <c r="C102" s="87">
        <f>'Prices and Spreads'!K$6/100*'Historic Prices'!D84-('Historic Prices'!C79/100*'Prices and Spreads'!K$4*(1+'Historic Prices'!L77/100*5/12))-'Historic Prices'!O84-'Historic Prices'!Q84</f>
        <v>-24.14167552189832</v>
      </c>
      <c r="E102" s="86">
        <v>34881</v>
      </c>
      <c r="F102" s="84">
        <f t="shared" si="31"/>
        <v>-48.45852444210723</v>
      </c>
      <c r="G102" s="84">
        <f t="shared" si="32"/>
        <v>-24.14167552189832</v>
      </c>
    </row>
    <row r="103" spans="1:7" ht="15.75">
      <c r="A103" s="86">
        <v>34912</v>
      </c>
      <c r="B103" s="87">
        <f>'Prices and Spreads'!J$6/100*'Historic Prices'!D85-('Historic Prices'!B78/100*'Prices and Spreads'!J$4*(1+'Historic Prices'!L78/100*7/12))-'Historic Prices'!N85-'Historic Prices'!P85</f>
        <v>-60.618601252786675</v>
      </c>
      <c r="C103" s="87">
        <f>'Prices and Spreads'!K$6/100*'Historic Prices'!D85-('Historic Prices'!C80/100*'Prices and Spreads'!K$4*(1+'Historic Prices'!L78/100*5/12))-'Historic Prices'!O85-'Historic Prices'!Q85</f>
        <v>-8.831728912051588</v>
      </c>
      <c r="E103" s="86">
        <v>34912</v>
      </c>
      <c r="F103" s="84">
        <f t="shared" si="31"/>
        <v>-60.618601252786675</v>
      </c>
      <c r="G103" s="84">
        <f t="shared" si="32"/>
        <v>-8.831728912051588</v>
      </c>
    </row>
    <row r="104" spans="1:7" ht="15.75">
      <c r="A104" s="86">
        <v>34943</v>
      </c>
      <c r="B104" s="87">
        <f>'Prices and Spreads'!J$6/100*'Historic Prices'!D86-('Historic Prices'!B79/100*'Prices and Spreads'!J$4*(1+'Historic Prices'!L79/100*7/12))-'Historic Prices'!N86-'Historic Prices'!P86</f>
        <v>-58.10979715912393</v>
      </c>
      <c r="C104" s="87">
        <f>'Prices and Spreads'!K$6/100*'Historic Prices'!D86-('Historic Prices'!C81/100*'Prices and Spreads'!K$4*(1+'Historic Prices'!L79/100*5/12))-'Historic Prices'!O86-'Historic Prices'!Q86</f>
        <v>25.847742535176963</v>
      </c>
      <c r="E104" s="86">
        <v>34943</v>
      </c>
      <c r="F104" s="84">
        <f t="shared" si="31"/>
        <v>-58.10979715912393</v>
      </c>
      <c r="G104" s="84">
        <f t="shared" si="32"/>
        <v>25.847742535176963</v>
      </c>
    </row>
    <row r="105" spans="1:7" ht="15.75">
      <c r="A105" s="86">
        <v>34973</v>
      </c>
      <c r="B105" s="87">
        <f>'Prices and Spreads'!J$6/100*'Historic Prices'!D87-('Historic Prices'!B80/100*'Prices and Spreads'!J$4*(1+'Historic Prices'!L80/100*7/12))-'Historic Prices'!N87-'Historic Prices'!P87</f>
        <v>-26.7353032930406</v>
      </c>
      <c r="C105" s="87">
        <f>'Prices and Spreads'!K$6/100*'Historic Prices'!D87-('Historic Prices'!C82/100*'Prices and Spreads'!K$4*(1+'Historic Prices'!L80/100*5/12))-'Historic Prices'!O87-'Historic Prices'!Q87</f>
        <v>58.067199898679334</v>
      </c>
      <c r="E105" s="86">
        <v>34973</v>
      </c>
      <c r="F105" s="84">
        <f t="shared" si="31"/>
        <v>-26.7353032930406</v>
      </c>
      <c r="G105" s="84">
        <f t="shared" si="32"/>
        <v>58.067199898679334</v>
      </c>
    </row>
    <row r="106" spans="1:7" ht="15.75">
      <c r="A106" s="86">
        <v>35004</v>
      </c>
      <c r="B106" s="87">
        <f>'Prices and Spreads'!J$6/100*'Historic Prices'!D88-('Historic Prices'!B81/100*'Prices and Spreads'!J$4*(1+'Historic Prices'!L81/100*7/12))-'Historic Prices'!N88-'Historic Prices'!P88</f>
        <v>4.144094691468041</v>
      </c>
      <c r="C106" s="87">
        <f>'Prices and Spreads'!K$6/100*'Historic Prices'!D88-('Historic Prices'!C83/100*'Prices and Spreads'!K$4*(1+'Historic Prices'!L81/100*5/12))-'Historic Prices'!O88-'Historic Prices'!Q88</f>
        <v>63.04540407709926</v>
      </c>
      <c r="E106" s="86">
        <v>35004</v>
      </c>
      <c r="F106" s="84">
        <f t="shared" si="31"/>
        <v>4.144094691468041</v>
      </c>
      <c r="G106" s="84">
        <f t="shared" si="32"/>
        <v>63.04540407709926</v>
      </c>
    </row>
    <row r="107" spans="1:7" ht="15.75">
      <c r="A107" s="86">
        <v>35034</v>
      </c>
      <c r="B107" s="87">
        <f>'Prices and Spreads'!J$6/100*'Historic Prices'!D89-('Historic Prices'!B82/100*'Prices and Spreads'!J$4*(1+'Historic Prices'!L82/100*7/12))-'Historic Prices'!N89-'Historic Prices'!P89</f>
        <v>18.607560439125933</v>
      </c>
      <c r="C107" s="87">
        <f>'Prices and Spreads'!K$6/100*'Historic Prices'!D89-('Historic Prices'!C84/100*'Prices and Spreads'!K$4*(1+'Historic Prices'!L82/100*5/12))-'Historic Prices'!O89-'Historic Prices'!Q89</f>
        <v>52.42898660223807</v>
      </c>
      <c r="E107" s="86">
        <v>35034</v>
      </c>
      <c r="F107" s="84">
        <f t="shared" si="31"/>
        <v>18.607560439125933</v>
      </c>
      <c r="G107" s="84">
        <f t="shared" si="32"/>
        <v>52.42898660223807</v>
      </c>
    </row>
    <row r="108" spans="1:7" ht="15.75">
      <c r="A108" s="86">
        <v>35065</v>
      </c>
      <c r="B108" s="87">
        <f>'Prices and Spreads'!J$6/100*'Historic Prices'!D90-('Historic Prices'!B83/100*'Prices and Spreads'!J$4*(1+'Historic Prices'!L83/100*7/12))-'Historic Prices'!N90-'Historic Prices'!P90</f>
        <v>-6.994703995209846</v>
      </c>
      <c r="C108" s="87">
        <f>'Prices and Spreads'!K$6/100*'Historic Prices'!D90-('Historic Prices'!C85/100*'Prices and Spreads'!K$4*(1+'Historic Prices'!L83/100*5/12))-'Historic Prices'!O90-'Historic Prices'!Q90</f>
        <v>13.834460725205759</v>
      </c>
      <c r="E108" s="86">
        <v>35065</v>
      </c>
      <c r="F108" s="84">
        <f t="shared" si="31"/>
        <v>-6.994703995209846</v>
      </c>
      <c r="G108" s="84">
        <f t="shared" si="32"/>
        <v>13.834460725205759</v>
      </c>
    </row>
    <row r="109" spans="1:7" ht="15.75">
      <c r="A109" s="86">
        <v>35096</v>
      </c>
      <c r="B109" s="87">
        <f>'Prices and Spreads'!J$6/100*'Historic Prices'!D91-('Historic Prices'!B84/100*'Prices and Spreads'!J$4*(1+'Historic Prices'!L84/100*7/12))-'Historic Prices'!N91-'Historic Prices'!P91</f>
        <v>-0.6913544312508861</v>
      </c>
      <c r="C109" s="87">
        <f>'Prices and Spreads'!K$6/100*'Historic Prices'!D91-('Historic Prices'!C86/100*'Prices and Spreads'!K$4*(1+'Historic Prices'!L84/100*5/12))-'Historic Prices'!O91-'Historic Prices'!Q91</f>
        <v>-6.8119276679479555</v>
      </c>
      <c r="E109" s="86">
        <v>35096</v>
      </c>
      <c r="F109" s="84">
        <f t="shared" si="31"/>
        <v>-0.6913544312508861</v>
      </c>
      <c r="G109" s="84">
        <f t="shared" si="32"/>
        <v>-6.8119276679479555</v>
      </c>
    </row>
    <row r="110" spans="1:7" ht="15.75">
      <c r="A110" s="88">
        <v>35125</v>
      </c>
      <c r="B110" s="87">
        <f>'Prices and Spreads'!J$6/100*'Historic Prices'!D92-('Historic Prices'!B85/100*'Prices and Spreads'!J$4*(1+'Historic Prices'!L85/100*7/12))-'Historic Prices'!N92-'Historic Prices'!P92</f>
        <v>-17.732094518920377</v>
      </c>
      <c r="C110" s="87">
        <f>'Prices and Spreads'!K$6/100*'Historic Prices'!D92-('Historic Prices'!C87/100*'Prices and Spreads'!K$4*(1+'Historic Prices'!L85/100*5/12))-'Historic Prices'!O92-'Historic Prices'!Q92</f>
        <v>-27.79703187119064</v>
      </c>
      <c r="E110" s="88">
        <v>35125</v>
      </c>
      <c r="F110" s="84">
        <f t="shared" si="31"/>
        <v>-17.732094518920377</v>
      </c>
      <c r="G110" s="84">
        <f t="shared" si="32"/>
        <v>-27.79703187119064</v>
      </c>
    </row>
    <row r="111" spans="1:7" ht="15.75">
      <c r="A111" s="88">
        <v>35156</v>
      </c>
      <c r="B111" s="87">
        <f>'Prices and Spreads'!J$6/100*'Historic Prices'!D93-('Historic Prices'!B86/100*'Prices and Spreads'!J$4*(1+'Historic Prices'!L86/100*7/12))-'Historic Prices'!N93-'Historic Prices'!P93</f>
        <v>-53.30850909017141</v>
      </c>
      <c r="C111" s="87">
        <f>'Prices and Spreads'!K$6/100*'Historic Prices'!D93-('Historic Prices'!C88/100*'Prices and Spreads'!K$4*(1+'Historic Prices'!L86/100*5/12))-'Historic Prices'!O93-'Historic Prices'!Q93</f>
        <v>-94.14552171080383</v>
      </c>
      <c r="E111" s="88">
        <v>35156</v>
      </c>
      <c r="F111" s="84">
        <f t="shared" si="31"/>
        <v>-53.30850909017141</v>
      </c>
      <c r="G111" s="84">
        <f t="shared" si="32"/>
        <v>-94.14552171080383</v>
      </c>
    </row>
    <row r="112" spans="1:7" ht="15.75">
      <c r="A112" s="88">
        <v>35186</v>
      </c>
      <c r="B112" s="87">
        <f>'Prices and Spreads'!J$6/100*'Historic Prices'!D94-('Historic Prices'!B87/100*'Prices and Spreads'!J$4*(1+'Historic Prices'!L87/100*7/12))-'Historic Prices'!N94-'Historic Prices'!P94</f>
        <v>-46.0863078404177</v>
      </c>
      <c r="C112" s="87">
        <f>'Prices and Spreads'!K$6/100*'Historic Prices'!D94-('Historic Prices'!C89/100*'Prices and Spreads'!K$4*(1+'Historic Prices'!L87/100*5/12))-'Historic Prices'!O94-'Historic Prices'!Q94</f>
        <v>-107.86320634024996</v>
      </c>
      <c r="E112" s="88">
        <v>35186</v>
      </c>
      <c r="F112" s="84">
        <f t="shared" si="31"/>
        <v>-46.0863078404177</v>
      </c>
      <c r="G112" s="84">
        <f t="shared" si="32"/>
        <v>-107.86320634024996</v>
      </c>
    </row>
    <row r="113" spans="1:7" ht="15.75">
      <c r="A113" s="88">
        <v>35217</v>
      </c>
      <c r="B113" s="87">
        <f>'Prices and Spreads'!J$6/100*'Historic Prices'!D95-('Historic Prices'!B88/100*'Prices and Spreads'!J$4*(1+'Historic Prices'!L88/100*7/12))-'Historic Prices'!N95-'Historic Prices'!P95</f>
        <v>-29.429271383171624</v>
      </c>
      <c r="C113" s="87">
        <f>'Prices and Spreads'!K$6/100*'Historic Prices'!D95-('Historic Prices'!C90/100*'Prices and Spreads'!K$4*(1+'Historic Prices'!L88/100*5/12))-'Historic Prices'!O95-'Historic Prices'!Q95</f>
        <v>-28.17645197476962</v>
      </c>
      <c r="E113" s="88">
        <v>35217</v>
      </c>
      <c r="F113" s="84">
        <f t="shared" si="31"/>
        <v>-29.429271383171624</v>
      </c>
      <c r="G113" s="84">
        <f t="shared" si="32"/>
        <v>-28.17645197476962</v>
      </c>
    </row>
    <row r="114" spans="1:7" ht="15.75">
      <c r="A114" s="88">
        <v>35247</v>
      </c>
      <c r="B114" s="87">
        <f>'Prices and Spreads'!J$6/100*'Historic Prices'!D96-('Historic Prices'!B89/100*'Prices and Spreads'!J$4*(1+'Historic Prices'!L89/100*7/12))-'Historic Prices'!N96-'Historic Prices'!P96</f>
        <v>-17.913829973762745</v>
      </c>
      <c r="C114" s="87">
        <f>'Prices and Spreads'!K$6/100*'Historic Prices'!D96-('Historic Prices'!C91/100*'Prices and Spreads'!K$4*(1+'Historic Prices'!L89/100*5/12))-'Historic Prices'!O96-'Historic Prices'!Q96</f>
        <v>9.176931600538992</v>
      </c>
      <c r="E114" s="88">
        <v>35247</v>
      </c>
      <c r="F114" s="84">
        <f t="shared" si="31"/>
        <v>-17.913829973762745</v>
      </c>
      <c r="G114" s="84">
        <f t="shared" si="32"/>
        <v>9.176931600538992</v>
      </c>
    </row>
    <row r="115" spans="1:7" ht="15.75">
      <c r="A115" s="88">
        <v>35278</v>
      </c>
      <c r="B115" s="87">
        <f>'Prices and Spreads'!J$6/100*'Historic Prices'!D97-('Historic Prices'!B90/100*'Prices and Spreads'!J$4*(1+'Historic Prices'!L90/100*7/12))-'Historic Prices'!N97-'Historic Prices'!P97</f>
        <v>22.242164542488553</v>
      </c>
      <c r="C115" s="87">
        <f>'Prices and Spreads'!K$6/100*'Historic Prices'!D97-('Historic Prices'!C92/100*'Prices and Spreads'!K$4*(1+'Historic Prices'!L90/100*5/12))-'Historic Prices'!O97-'Historic Prices'!Q97</f>
        <v>47.91909401770735</v>
      </c>
      <c r="E115" s="88">
        <v>35278</v>
      </c>
      <c r="F115" s="84">
        <f t="shared" si="31"/>
        <v>22.242164542488553</v>
      </c>
      <c r="G115" s="84">
        <f t="shared" si="32"/>
        <v>47.91909401770735</v>
      </c>
    </row>
    <row r="116" spans="1:7" ht="15.75">
      <c r="A116" s="88">
        <v>35309</v>
      </c>
      <c r="B116" s="87">
        <f>'Prices and Spreads'!J$6/100*'Historic Prices'!D98-('Historic Prices'!B91/100*'Prices and Spreads'!J$4*(1+'Historic Prices'!L91/100*7/12))-'Historic Prices'!N98-'Historic Prices'!P98</f>
        <v>61.95999633484601</v>
      </c>
      <c r="C116" s="87">
        <f>'Prices and Spreads'!K$6/100*'Historic Prices'!D98-('Historic Prices'!C93/100*'Prices and Spreads'!K$4*(1+'Historic Prices'!L91/100*5/12))-'Historic Prices'!O98-'Historic Prices'!Q98</f>
        <v>124.27538302484653</v>
      </c>
      <c r="E116" s="88">
        <v>35309</v>
      </c>
      <c r="F116" s="84">
        <f t="shared" si="31"/>
        <v>61.95999633484601</v>
      </c>
      <c r="G116" s="84">
        <f t="shared" si="32"/>
        <v>124.27538302484653</v>
      </c>
    </row>
    <row r="117" spans="1:7" ht="15.75">
      <c r="A117" s="88">
        <v>35339</v>
      </c>
      <c r="B117" s="87">
        <f>'Prices and Spreads'!J$6/100*'Historic Prices'!D99-('Historic Prices'!B92/100*'Prices and Spreads'!J$4*(1+'Historic Prices'!L92/100*7/12))-'Historic Prices'!N99-'Historic Prices'!P99</f>
        <v>77.44299510153863</v>
      </c>
      <c r="C117" s="87">
        <f>'Prices and Spreads'!K$6/100*'Historic Prices'!D99-('Historic Prices'!C94/100*'Prices and Spreads'!K$4*(1+'Historic Prices'!L92/100*5/12))-'Historic Prices'!O99-'Historic Prices'!Q99</f>
        <v>125.8009963267734</v>
      </c>
      <c r="E117" s="88">
        <v>35339</v>
      </c>
      <c r="F117" s="84">
        <f t="shared" si="31"/>
        <v>77.44299510153863</v>
      </c>
      <c r="G117" s="84">
        <f t="shared" si="32"/>
        <v>125.8009963267734</v>
      </c>
    </row>
    <row r="118" spans="1:7" ht="15.75">
      <c r="A118" s="88">
        <v>35370</v>
      </c>
      <c r="B118" s="87">
        <f>'Prices and Spreads'!J$6/100*'Historic Prices'!D100-('Historic Prices'!B93/100*'Prices and Spreads'!J$4*(1+'Historic Prices'!L93/100*7/12))-'Historic Prices'!N100-'Historic Prices'!P100</f>
        <v>123.56160017587166</v>
      </c>
      <c r="C118" s="87">
        <f>'Prices and Spreads'!K$6/100*'Historic Prices'!D100-('Historic Prices'!C95/100*'Prices and Spreads'!K$4*(1+'Historic Prices'!L93/100*5/12))-'Historic Prices'!O100-'Historic Prices'!Q100</f>
        <v>120.7469954646709</v>
      </c>
      <c r="E118" s="88">
        <v>35370</v>
      </c>
      <c r="F118" s="84">
        <f t="shared" si="31"/>
        <v>123.56160017587166</v>
      </c>
      <c r="G118" s="84">
        <f t="shared" si="32"/>
        <v>120.7469954646709</v>
      </c>
    </row>
    <row r="119" spans="1:7" ht="15.75">
      <c r="A119" s="88">
        <v>35400</v>
      </c>
      <c r="B119" s="87">
        <f>'Prices and Spreads'!J$6/100*'Historic Prices'!D101-('Historic Prices'!B94/100*'Prices and Spreads'!J$4*(1+'Historic Prices'!L94/100*7/12))-'Historic Prices'!N101-'Historic Prices'!P101</f>
        <v>91.68531220518395</v>
      </c>
      <c r="C119" s="87">
        <f>'Prices and Spreads'!K$6/100*'Historic Prices'!D101-('Historic Prices'!C96/100*'Prices and Spreads'!K$4*(1+'Historic Prices'!L94/100*5/12))-'Historic Prices'!O101-'Historic Prices'!Q101</f>
        <v>84.46286746893759</v>
      </c>
      <c r="E119" s="88">
        <v>35400</v>
      </c>
      <c r="F119" s="84">
        <f t="shared" si="31"/>
        <v>91.68531220518395</v>
      </c>
      <c r="G119" s="84">
        <f t="shared" si="32"/>
        <v>84.46286746893759</v>
      </c>
    </row>
    <row r="120" spans="1:7" ht="15.75">
      <c r="A120" s="88">
        <v>35431</v>
      </c>
      <c r="B120" s="87">
        <f>'Prices and Spreads'!J$6/100*'Historic Prices'!D102-('Historic Prices'!B95/100*'Prices and Spreads'!J$4*(1+'Historic Prices'!L95/100*7/12))-'Historic Prices'!N102-'Historic Prices'!P102</f>
        <v>59.56124893357287</v>
      </c>
      <c r="C120" s="87">
        <f>'Prices and Spreads'!K$6/100*'Historic Prices'!D102-('Historic Prices'!C97/100*'Prices and Spreads'!K$4*(1+'Historic Prices'!L95/100*5/12))-'Historic Prices'!O102-'Historic Prices'!Q102</f>
        <v>70.88075864848892</v>
      </c>
      <c r="E120" s="88">
        <v>35431</v>
      </c>
      <c r="F120" s="84">
        <f t="shared" si="31"/>
        <v>59.56124893357287</v>
      </c>
      <c r="G120" s="84">
        <f t="shared" si="32"/>
        <v>70.88075864848892</v>
      </c>
    </row>
    <row r="121" spans="1:7" ht="15.75">
      <c r="A121" s="88">
        <v>35462</v>
      </c>
      <c r="B121" s="87">
        <f>'Prices and Spreads'!J$6/100*'Historic Prices'!D103-('Historic Prices'!B96/100*'Prices and Spreads'!J$4*(1+'Historic Prices'!L96/100*7/12))-'Historic Prices'!N103-'Historic Prices'!P103</f>
        <v>78.79601876876453</v>
      </c>
      <c r="C121" s="87">
        <f>'Prices and Spreads'!K$6/100*'Historic Prices'!D103-('Historic Prices'!C98/100*'Prices and Spreads'!K$4*(1+'Historic Prices'!L96/100*5/12))-'Historic Prices'!O103-'Historic Prices'!Q103</f>
        <v>74.95268207950134</v>
      </c>
      <c r="E121" s="88">
        <v>35462</v>
      </c>
      <c r="F121" s="84">
        <f t="shared" si="31"/>
        <v>78.79601876876453</v>
      </c>
      <c r="G121" s="84">
        <f t="shared" si="32"/>
        <v>74.95268207950134</v>
      </c>
    </row>
    <row r="122" spans="1:7" ht="15.75">
      <c r="A122" s="88">
        <v>35490</v>
      </c>
      <c r="B122" s="87">
        <f>'Prices and Spreads'!J$6/100*'Historic Prices'!D104-('Historic Prices'!B97/100*'Prices and Spreads'!J$4*(1+'Historic Prices'!L97/100*7/12))-'Historic Prices'!N104-'Historic Prices'!P104</f>
        <v>104.5266700882404</v>
      </c>
      <c r="C122" s="87">
        <f>'Prices and Spreads'!K$6/100*'Historic Prices'!D104-('Historic Prices'!C99/100*'Prices and Spreads'!K$4*(1+'Historic Prices'!L97/100*5/12))-'Historic Prices'!O104-'Historic Prices'!Q104</f>
        <v>112.20678648035454</v>
      </c>
      <c r="E122" s="88">
        <v>35490</v>
      </c>
      <c r="F122" s="84">
        <f t="shared" si="31"/>
        <v>104.5266700882404</v>
      </c>
      <c r="G122" s="84">
        <f t="shared" si="32"/>
        <v>112.20678648035454</v>
      </c>
    </row>
    <row r="123" spans="1:7" ht="15.75">
      <c r="A123" s="88">
        <v>35521</v>
      </c>
      <c r="B123" s="87">
        <f>'Prices and Spreads'!J$6/100*'Historic Prices'!D105-('Historic Prices'!B98/100*'Prices and Spreads'!J$4*(1+'Historic Prices'!L98/100*7/12))-'Historic Prices'!N105-'Historic Prices'!P105</f>
        <v>116.19338388569574</v>
      </c>
      <c r="C123" s="87">
        <f>'Prices and Spreads'!K$6/100*'Historic Prices'!D105-('Historic Prices'!C100/100*'Prices and Spreads'!K$4*(1+'Historic Prices'!L98/100*5/12))-'Historic Prices'!O105-'Historic Prices'!Q105</f>
        <v>88.9670861973121</v>
      </c>
      <c r="E123" s="88">
        <v>35521</v>
      </c>
      <c r="F123" s="84">
        <f t="shared" si="31"/>
        <v>116.19338388569574</v>
      </c>
      <c r="G123" s="84">
        <f t="shared" si="32"/>
        <v>88.9670861973121</v>
      </c>
    </row>
    <row r="124" spans="1:7" ht="15.75">
      <c r="A124" s="88">
        <v>35551</v>
      </c>
      <c r="B124" s="87">
        <f>'Prices and Spreads'!J$6/100*'Historic Prices'!D106-('Historic Prices'!B99/100*'Prices and Spreads'!J$4*(1+'Historic Prices'!L99/100*7/12))-'Historic Prices'!N106-'Historic Prices'!P106</f>
        <v>123.75472061201842</v>
      </c>
      <c r="C124" s="87">
        <f>'Prices and Spreads'!K$6/100*'Historic Prices'!D106-('Historic Prices'!C101/100*'Prices and Spreads'!K$4*(1+'Historic Prices'!L99/100*5/12))-'Historic Prices'!O106-'Historic Prices'!Q106</f>
        <v>83.5354393864276</v>
      </c>
      <c r="E124" s="88">
        <v>35551</v>
      </c>
      <c r="F124" s="84">
        <f t="shared" si="31"/>
        <v>123.75472061201842</v>
      </c>
      <c r="G124" s="84">
        <f t="shared" si="32"/>
        <v>83.5354393864276</v>
      </c>
    </row>
    <row r="125" spans="1:7" ht="15.75">
      <c r="A125" s="88">
        <v>35582</v>
      </c>
      <c r="B125" s="87">
        <f>'Prices and Spreads'!J$6/100*'Historic Prices'!D107-('Historic Prices'!B100/100*'Prices and Spreads'!J$4*(1+'Historic Prices'!L100/100*7/12))-'Historic Prices'!N107-'Historic Prices'!P107</f>
        <v>59.22737411501683</v>
      </c>
      <c r="C125" s="87">
        <f>'Prices and Spreads'!K$6/100*'Historic Prices'!D107-('Historic Prices'!C102/100*'Prices and Spreads'!K$4*(1+'Historic Prices'!L100/100*5/12))-'Historic Prices'!O107-'Historic Prices'!Q107</f>
        <v>13.801652675764402</v>
      </c>
      <c r="E125" s="88">
        <v>35582</v>
      </c>
      <c r="F125" s="84">
        <f t="shared" si="31"/>
        <v>59.22737411501683</v>
      </c>
      <c r="G125" s="84">
        <f t="shared" si="32"/>
        <v>13.801652675764402</v>
      </c>
    </row>
    <row r="126" spans="1:7" ht="15.75">
      <c r="A126" s="88">
        <v>35612</v>
      </c>
      <c r="B126" s="87">
        <f>'Prices and Spreads'!J$6/100*'Historic Prices'!D108-('Historic Prices'!B101/100*'Prices and Spreads'!J$4*(1+'Historic Prices'!L101/100*7/12))-'Historic Prices'!N108-'Historic Prices'!P108</f>
        <v>47.20567360832359</v>
      </c>
      <c r="C126" s="87">
        <f>'Prices and Spreads'!K$6/100*'Historic Prices'!D108-('Historic Prices'!C103/100*'Prices and Spreads'!K$4*(1+'Historic Prices'!L101/100*5/12))-'Historic Prices'!O108-'Historic Prices'!Q108</f>
        <v>12.003837191564557</v>
      </c>
      <c r="E126" s="88">
        <v>35612</v>
      </c>
      <c r="F126" s="84">
        <f t="shared" si="31"/>
        <v>47.20567360832359</v>
      </c>
      <c r="G126" s="84">
        <f t="shared" si="32"/>
        <v>12.003837191564557</v>
      </c>
    </row>
    <row r="127" spans="1:7" ht="15.75">
      <c r="A127" s="88">
        <v>35643</v>
      </c>
      <c r="B127" s="87">
        <f>'Prices and Spreads'!J$6/100*'Historic Prices'!D109-('Historic Prices'!B102/100*'Prices and Spreads'!J$4*(1+'Historic Prices'!L102/100*7/12))-'Historic Prices'!N109-'Historic Prices'!P109</f>
        <v>40.28806727196442</v>
      </c>
      <c r="C127" s="87">
        <f>'Prices and Spreads'!K$6/100*'Historic Prices'!D109-('Historic Prices'!C104/100*'Prices and Spreads'!K$4*(1+'Historic Prices'!L102/100*5/12))-'Historic Prices'!O109-'Historic Prices'!Q109</f>
        <v>42.86397260066923</v>
      </c>
      <c r="E127" s="88">
        <v>35643</v>
      </c>
      <c r="F127" s="84">
        <f t="shared" si="31"/>
        <v>40.28806727196442</v>
      </c>
      <c r="G127" s="84">
        <f t="shared" si="32"/>
        <v>42.86397260066923</v>
      </c>
    </row>
    <row r="128" spans="1:7" ht="15.75">
      <c r="A128" s="88">
        <v>35674</v>
      </c>
      <c r="B128" s="87">
        <f>'Prices and Spreads'!J$6/100*'Historic Prices'!D110-('Historic Prices'!B103/100*'Prices and Spreads'!J$4*(1+'Historic Prices'!L103/100*7/12))-'Historic Prices'!N110-'Historic Prices'!P110</f>
        <v>10.502562558151084</v>
      </c>
      <c r="C128" s="87">
        <f>'Prices and Spreads'!K$6/100*'Historic Prices'!D110-('Historic Prices'!C105/100*'Prices and Spreads'!K$4*(1+'Historic Prices'!L103/100*5/12))-'Historic Prices'!O110-'Historic Prices'!Q110</f>
        <v>21.92978667977185</v>
      </c>
      <c r="E128" s="88">
        <v>35674</v>
      </c>
      <c r="F128" s="84">
        <f t="shared" si="31"/>
        <v>10.502562558151084</v>
      </c>
      <c r="G128" s="84">
        <f t="shared" si="32"/>
        <v>21.92978667977185</v>
      </c>
    </row>
    <row r="129" spans="1:7" ht="15.75">
      <c r="A129" s="88">
        <v>35704</v>
      </c>
      <c r="B129" s="87">
        <f>'Prices and Spreads'!J$6/100*'Historic Prices'!D111-('Historic Prices'!B104/100*'Prices and Spreads'!J$4*(1+'Historic Prices'!L104/100*7/12))-'Historic Prices'!N111-'Historic Prices'!P111</f>
        <v>-10.693169313787791</v>
      </c>
      <c r="C129" s="87">
        <f>'Prices and Spreads'!K$6/100*'Historic Prices'!D111-('Historic Prices'!C106/100*'Prices and Spreads'!K$4*(1+'Historic Prices'!L104/100*5/12))-'Historic Prices'!O111-'Historic Prices'!Q111</f>
        <v>9.774517300615301</v>
      </c>
      <c r="E129" s="88">
        <v>35704</v>
      </c>
      <c r="F129" s="84">
        <f t="shared" si="31"/>
        <v>-10.693169313787791</v>
      </c>
      <c r="G129" s="84">
        <f t="shared" si="32"/>
        <v>9.774517300615301</v>
      </c>
    </row>
    <row r="130" spans="1:7" ht="15.75">
      <c r="A130" s="88">
        <v>35735</v>
      </c>
      <c r="B130" s="87">
        <f>'Prices and Spreads'!J$6/100*'Historic Prices'!D112-('Historic Prices'!B105/100*'Prices and Spreads'!J$4*(1+'Historic Prices'!L105/100*7/12))-'Historic Prices'!N112-'Historic Prices'!P112</f>
        <v>-14.883884549170858</v>
      </c>
      <c r="C130" s="87">
        <f>'Prices and Spreads'!K$6/100*'Historic Prices'!D112-('Historic Prices'!C107/100*'Prices and Spreads'!K$4*(1+'Historic Prices'!L105/100*5/12))-'Historic Prices'!O112-'Historic Prices'!Q112</f>
        <v>11.933965881873931</v>
      </c>
      <c r="E130" s="88">
        <v>35735</v>
      </c>
      <c r="F130" s="84">
        <f t="shared" si="31"/>
        <v>-14.883884549170858</v>
      </c>
      <c r="G130" s="84">
        <f t="shared" si="32"/>
        <v>11.933965881873931</v>
      </c>
    </row>
    <row r="131" spans="1:7" ht="15.75">
      <c r="A131" s="88">
        <v>35765</v>
      </c>
      <c r="B131" s="87">
        <f>'Prices and Spreads'!J$6/100*'Historic Prices'!D113-('Historic Prices'!B106/100*'Prices and Spreads'!J$4*(1+'Historic Prices'!L106/100*7/12))-'Historic Prices'!N113-'Historic Prices'!P113</f>
        <v>-40.128681321031166</v>
      </c>
      <c r="C131" s="87">
        <f>'Prices and Spreads'!K$6/100*'Historic Prices'!D113-('Historic Prices'!C108/100*'Prices and Spreads'!K$4*(1+'Historic Prices'!L106/100*5/12))-'Historic Prices'!O113-'Historic Prices'!Q113</f>
        <v>-35.06053000094913</v>
      </c>
      <c r="E131" s="88">
        <v>35765</v>
      </c>
      <c r="F131" s="84">
        <f t="shared" si="31"/>
        <v>-40.128681321031166</v>
      </c>
      <c r="G131" s="84">
        <f t="shared" si="32"/>
        <v>-35.06053000094913</v>
      </c>
    </row>
    <row r="132" spans="1:7" ht="15.75">
      <c r="A132" s="88">
        <v>35796</v>
      </c>
      <c r="B132" s="87">
        <f>'Prices and Spreads'!J$6/100*'Historic Prices'!D114-('Historic Prices'!B107/100*'Prices and Spreads'!J$4*(1+'Historic Prices'!L107/100*7/12))-'Historic Prices'!N114-'Historic Prices'!P114</f>
        <v>-36.97093177936449</v>
      </c>
      <c r="C132" s="87">
        <f>'Prices and Spreads'!K$6/100*'Historic Prices'!D114-('Historic Prices'!C109/100*'Prices and Spreads'!K$4*(1+'Historic Prices'!L107/100*5/12))-'Historic Prices'!O114-'Historic Prices'!Q114</f>
        <v>-61.58198156816063</v>
      </c>
      <c r="E132" s="88">
        <v>35796</v>
      </c>
      <c r="F132" s="84">
        <f t="shared" si="31"/>
        <v>-36.97093177936449</v>
      </c>
      <c r="G132" s="84">
        <f t="shared" si="32"/>
        <v>-61.58198156816063</v>
      </c>
    </row>
    <row r="133" spans="1:7" ht="15.75">
      <c r="A133" s="88">
        <v>35827</v>
      </c>
      <c r="B133" s="87">
        <f>'Prices and Spreads'!J$6/100*'Historic Prices'!D115-('Historic Prices'!B108/100*'Prices and Spreads'!J$4*(1+'Historic Prices'!L108/100*7/12))-'Historic Prices'!N115-'Historic Prices'!P115</f>
        <v>-93.54360623421675</v>
      </c>
      <c r="C133" s="87">
        <f>'Prices and Spreads'!K$6/100*'Historic Prices'!D115-('Historic Prices'!C110/100*'Prices and Spreads'!K$4*(1+'Historic Prices'!L108/100*5/12))-'Historic Prices'!O115-'Historic Prices'!Q115</f>
        <v>-92.86406452441943</v>
      </c>
      <c r="E133" s="88">
        <v>35827</v>
      </c>
      <c r="F133" s="84">
        <f t="shared" si="31"/>
        <v>-93.54360623421675</v>
      </c>
      <c r="G133" s="84">
        <f t="shared" si="32"/>
        <v>-92.86406452441943</v>
      </c>
    </row>
    <row r="134" spans="1:7" ht="15.75">
      <c r="A134" s="88">
        <v>35855</v>
      </c>
      <c r="B134" s="87">
        <f>'Prices and Spreads'!J$6/100*'Historic Prices'!D116-('Historic Prices'!B109/100*'Prices and Spreads'!J$4*(1+'Historic Prices'!L109/100*7/12))-'Historic Prices'!N116-'Historic Prices'!P116</f>
        <v>-103.93094324028198</v>
      </c>
      <c r="C134" s="87">
        <f>'Prices and Spreads'!K$6/100*'Historic Prices'!D116-('Historic Prices'!C111/100*'Prices and Spreads'!K$4*(1+'Historic Prices'!L109/100*5/12))-'Historic Prices'!O116-'Historic Prices'!Q116</f>
        <v>-71.93234676659598</v>
      </c>
      <c r="E134" s="88">
        <v>35855</v>
      </c>
      <c r="F134" s="84">
        <f t="shared" si="31"/>
        <v>-103.93094324028198</v>
      </c>
      <c r="G134" s="84">
        <f t="shared" si="32"/>
        <v>-71.93234676659598</v>
      </c>
    </row>
    <row r="135" spans="1:7" ht="15.75">
      <c r="A135" s="88">
        <v>35886</v>
      </c>
      <c r="B135" s="87">
        <f>'Prices and Spreads'!J$6/100*'Historic Prices'!D117-('Historic Prices'!B110/100*'Prices and Spreads'!J$4*(1+'Historic Prices'!L110/100*7/12))-'Historic Prices'!N117-'Historic Prices'!P117</f>
        <v>-59.42423603065669</v>
      </c>
      <c r="C135" s="87">
        <f>'Prices and Spreads'!K$6/100*'Historic Prices'!D117-('Historic Prices'!C112/100*'Prices and Spreads'!K$4*(1+'Historic Prices'!L110/100*5/12))-'Historic Prices'!O117-'Historic Prices'!Q117</f>
        <v>-42.397413096255306</v>
      </c>
      <c r="E135" s="88">
        <v>35886</v>
      </c>
      <c r="F135" s="84">
        <f t="shared" si="31"/>
        <v>-59.42423603065669</v>
      </c>
      <c r="G135" s="84">
        <f t="shared" si="32"/>
        <v>-42.397413096255306</v>
      </c>
    </row>
    <row r="136" spans="1:7" ht="15.75">
      <c r="A136" s="88">
        <v>35916</v>
      </c>
      <c r="B136" s="87">
        <f>'Prices and Spreads'!J$6/100*'Historic Prices'!D118-('Historic Prices'!B111/100*'Prices and Spreads'!J$4*(1+'Historic Prices'!L111/100*7/12))-'Historic Prices'!N118-'Historic Prices'!P118</f>
        <v>-35.45498175897964</v>
      </c>
      <c r="C136" s="87">
        <f>'Prices and Spreads'!K$6/100*'Historic Prices'!D118-('Historic Prices'!C113/100*'Prices and Spreads'!K$4*(1+'Historic Prices'!L111/100*5/12))-'Historic Prices'!O118-'Historic Prices'!Q118</f>
        <v>-47.07010840404379</v>
      </c>
      <c r="E136" s="88">
        <v>35916</v>
      </c>
      <c r="F136" s="84">
        <f t="shared" si="31"/>
        <v>-35.45498175897964</v>
      </c>
      <c r="G136" s="84">
        <f t="shared" si="32"/>
        <v>-47.07010840404379</v>
      </c>
    </row>
    <row r="137" spans="1:7" ht="15.75">
      <c r="A137" s="88">
        <v>35947</v>
      </c>
      <c r="B137" s="87">
        <f>'Prices and Spreads'!J$6/100*'Historic Prices'!D119-('Historic Prices'!B112/100*'Prices and Spreads'!J$4*(1+'Historic Prices'!L112/100*7/12))-'Historic Prices'!N119-'Historic Prices'!P119</f>
        <v>-48.047321453890476</v>
      </c>
      <c r="C137" s="87">
        <f>'Prices and Spreads'!K$6/100*'Historic Prices'!D119-('Historic Prices'!C114/100*'Prices and Spreads'!K$4*(1+'Historic Prices'!L112/100*5/12))-'Historic Prices'!O119-'Historic Prices'!Q119</f>
        <v>-38.83988807740991</v>
      </c>
      <c r="E137" s="88">
        <v>35947</v>
      </c>
      <c r="F137" s="84">
        <f t="shared" si="31"/>
        <v>-48.047321453890476</v>
      </c>
      <c r="G137" s="84">
        <f t="shared" si="32"/>
        <v>-38.83988807740991</v>
      </c>
    </row>
    <row r="138" spans="1:7" ht="15.75">
      <c r="A138" s="88">
        <v>35977</v>
      </c>
      <c r="B138" s="87">
        <f>'Prices and Spreads'!J$6/100*'Historic Prices'!D120-('Historic Prices'!B113/100*'Prices and Spreads'!J$4*(1+'Historic Prices'!L113/100*7/12))-'Historic Prices'!N120-'Historic Prices'!P120</f>
        <v>-98.7382840641757</v>
      </c>
      <c r="C138" s="87">
        <f>'Prices and Spreads'!K$6/100*'Historic Prices'!D120-('Historic Prices'!C115/100*'Prices and Spreads'!K$4*(1+'Historic Prices'!L113/100*5/12))-'Historic Prices'!O120-'Historic Prices'!Q120</f>
        <v>-62.264323713258335</v>
      </c>
      <c r="E138" s="88">
        <v>35977</v>
      </c>
      <c r="F138" s="84">
        <f t="shared" si="31"/>
        <v>-98.7382840641757</v>
      </c>
      <c r="G138" s="84">
        <f t="shared" si="32"/>
        <v>-62.264323713258335</v>
      </c>
    </row>
    <row r="139" spans="1:7" ht="15.75">
      <c r="A139" s="88">
        <v>36008</v>
      </c>
      <c r="B139" s="87">
        <f>'Prices and Spreads'!J$6/100*'Historic Prices'!D121-('Historic Prices'!B114/100*'Prices and Spreads'!J$4*(1+'Historic Prices'!L114/100*7/12))-'Historic Prices'!N121-'Historic Prices'!P121</f>
        <v>-70.5994299014921</v>
      </c>
      <c r="C139" s="87">
        <f>'Prices and Spreads'!K$6/100*'Historic Prices'!D121-('Historic Prices'!C116/100*'Prices and Spreads'!K$4*(1+'Historic Prices'!L114/100*5/12))-'Historic Prices'!O121-'Historic Prices'!Q121</f>
        <v>-30.209716581860803</v>
      </c>
      <c r="E139" s="88">
        <v>36008</v>
      </c>
      <c r="F139" s="84">
        <f t="shared" si="31"/>
        <v>-70.5994299014921</v>
      </c>
      <c r="G139" s="84">
        <f t="shared" si="32"/>
        <v>-30.209716581860803</v>
      </c>
    </row>
    <row r="140" spans="1:7" ht="15.75">
      <c r="A140" s="88">
        <v>36039</v>
      </c>
      <c r="B140" s="87">
        <f>'Prices and Spreads'!J$6/100*'Historic Prices'!D122-('Historic Prices'!B115/100*'Prices and Spreads'!J$4*(1+'Historic Prices'!L115/100*7/12))-'Historic Prices'!N122-'Historic Prices'!P122</f>
        <v>-112.16302985774325</v>
      </c>
      <c r="C140" s="87">
        <f>'Prices and Spreads'!K$6/100*'Historic Prices'!D122-('Historic Prices'!C117/100*'Prices and Spreads'!K$4*(1+'Historic Prices'!L115/100*5/12))-'Historic Prices'!O122-'Historic Prices'!Q122</f>
        <v>-74.0308040535926</v>
      </c>
      <c r="E140" s="88">
        <v>36039</v>
      </c>
      <c r="F140" s="84">
        <f t="shared" si="31"/>
        <v>-112.16302985774325</v>
      </c>
      <c r="G140" s="84">
        <f t="shared" si="32"/>
        <v>-74.0308040535926</v>
      </c>
    </row>
    <row r="141" spans="1:7" ht="15.75">
      <c r="A141" s="88">
        <v>36069</v>
      </c>
      <c r="B141" s="87">
        <f>'Prices and Spreads'!J$6/100*'Historic Prices'!D123-('Historic Prices'!B116/100*'Prices and Spreads'!J$4*(1+'Historic Prices'!L116/100*7/12))-'Historic Prices'!N123-'Historic Prices'!P123</f>
        <v>-95.00017423324496</v>
      </c>
      <c r="C141" s="87">
        <f>'Prices and Spreads'!K$6/100*'Historic Prices'!D123-('Historic Prices'!C118/100*'Prices and Spreads'!K$4*(1+'Historic Prices'!L116/100*5/12))-'Historic Prices'!O123-'Historic Prices'!Q123</f>
        <v>-37.27770715974697</v>
      </c>
      <c r="E141" s="88">
        <v>36069</v>
      </c>
      <c r="F141" s="84">
        <f t="shared" si="31"/>
        <v>-95.00017423324496</v>
      </c>
      <c r="G141" s="84">
        <f t="shared" si="32"/>
        <v>-37.27770715974697</v>
      </c>
    </row>
    <row r="142" spans="1:7" ht="15.75">
      <c r="A142" s="88">
        <v>36100</v>
      </c>
      <c r="B142" s="87">
        <f>'Prices and Spreads'!J$6/100*'Historic Prices'!D124-('Historic Prices'!B117/100*'Prices and Spreads'!J$4*(1+'Historic Prices'!L117/100*7/12))-'Historic Prices'!N124-'Historic Prices'!P124</f>
        <v>-93.36246078277088</v>
      </c>
      <c r="C142" s="87">
        <f>'Prices and Spreads'!K$6/100*'Historic Prices'!D124-('Historic Prices'!C119/100*'Prices and Spreads'!K$4*(1+'Historic Prices'!L117/100*5/12))-'Historic Prices'!O124-'Historic Prices'!Q124</f>
        <v>-6.911905444065681</v>
      </c>
      <c r="E142" s="88">
        <v>36100</v>
      </c>
      <c r="F142" s="84">
        <f t="shared" si="31"/>
        <v>-93.36246078277088</v>
      </c>
      <c r="G142" s="84">
        <f t="shared" si="32"/>
        <v>-6.911905444065681</v>
      </c>
    </row>
    <row r="143" spans="1:7" ht="15.75">
      <c r="A143" s="88">
        <v>36130</v>
      </c>
      <c r="B143" s="87">
        <f>'Prices and Spreads'!J$6/100*'Historic Prices'!D125-('Historic Prices'!B118/100*'Prices and Spreads'!J$4*(1+'Historic Prices'!L118/100*7/12))-'Historic Prices'!N125-'Historic Prices'!P125</f>
        <v>-104.27979622161638</v>
      </c>
      <c r="C143" s="87">
        <f>'Prices and Spreads'!K$6/100*'Historic Prices'!D125-('Historic Prices'!C120/100*'Prices and Spreads'!K$4*(1+'Historic Prices'!L118/100*5/12))-'Historic Prices'!O125-'Historic Prices'!Q125</f>
        <v>-5.665890950289636</v>
      </c>
      <c r="E143" s="88">
        <v>36130</v>
      </c>
      <c r="F143" s="84">
        <f t="shared" si="31"/>
        <v>-104.27979622161638</v>
      </c>
      <c r="G143" s="84">
        <f t="shared" si="32"/>
        <v>-5.665890950289636</v>
      </c>
    </row>
    <row r="144" spans="1:7" ht="15.75">
      <c r="A144" s="88">
        <v>36161</v>
      </c>
      <c r="B144" s="87">
        <f>'Prices and Spreads'!J$6/100*'Historic Prices'!D126-('Historic Prices'!B119/100*'Prices and Spreads'!J$4*(1+'Historic Prices'!L119/100*7/12))-'Historic Prices'!N126-'Historic Prices'!P126</f>
        <v>-9.160809273726386</v>
      </c>
      <c r="C144" s="87">
        <f>'Prices and Spreads'!K$6/100*'Historic Prices'!D126-('Historic Prices'!C121/100*'Prices and Spreads'!K$4*(1+'Historic Prices'!L119/100*5/12))-'Historic Prices'!O126-'Historic Prices'!Q126</f>
        <v>38.55574455593417</v>
      </c>
      <c r="E144" s="88">
        <v>36161</v>
      </c>
      <c r="F144" s="84">
        <f t="shared" si="31"/>
        <v>-9.160809273726386</v>
      </c>
      <c r="G144" s="84">
        <f t="shared" si="32"/>
        <v>38.55574455593417</v>
      </c>
    </row>
    <row r="145" spans="1:7" ht="15.75">
      <c r="A145" s="88">
        <v>36192</v>
      </c>
      <c r="B145" s="87">
        <f>'Prices and Spreads'!J$6/100*'Historic Prices'!D127-('Historic Prices'!B120/100*'Prices and Spreads'!J$4*(1+'Historic Prices'!L120/100*7/12))-'Historic Prices'!N127-'Historic Prices'!P127</f>
        <v>26.2965992835519</v>
      </c>
      <c r="C145" s="87">
        <f>'Prices and Spreads'!K$6/100*'Historic Prices'!D127-('Historic Prices'!C122/100*'Prices and Spreads'!K$4*(1+'Historic Prices'!L120/100*5/12))-'Historic Prices'!O127-'Historic Prices'!Q127</f>
        <v>35.27804284025295</v>
      </c>
      <c r="E145" s="88">
        <v>36192</v>
      </c>
      <c r="F145" s="84">
        <f t="shared" si="31"/>
        <v>26.2965992835519</v>
      </c>
      <c r="G145" s="84">
        <f t="shared" si="32"/>
        <v>35.27804284025295</v>
      </c>
    </row>
    <row r="146" spans="1:7" ht="15.75">
      <c r="A146" s="88">
        <v>36220</v>
      </c>
      <c r="B146" s="87">
        <f>'Prices and Spreads'!J$6/100*'Historic Prices'!D128-('Historic Prices'!B121/100*'Prices and Spreads'!J$4*(1+'Historic Prices'!L121/100*7/12))-'Historic Prices'!N128-'Historic Prices'!P128</f>
        <v>64.74456216422212</v>
      </c>
      <c r="C146" s="87">
        <f>'Prices and Spreads'!K$6/100*'Historic Prices'!D128-('Historic Prices'!C123/100*'Prices and Spreads'!K$4*(1+'Historic Prices'!L121/100*5/12))-'Historic Prices'!O128-'Historic Prices'!Q128</f>
        <v>45.422341412088755</v>
      </c>
      <c r="E146" s="88">
        <v>36220</v>
      </c>
      <c r="F146" s="84">
        <f t="shared" si="31"/>
        <v>64.74456216422212</v>
      </c>
      <c r="G146" s="84">
        <f t="shared" si="32"/>
        <v>45.422341412088755</v>
      </c>
    </row>
    <row r="147" spans="1:7" ht="15.75">
      <c r="A147" s="88">
        <v>36251</v>
      </c>
      <c r="B147" s="87">
        <f>'Prices and Spreads'!J$6/100*'Historic Prices'!D129-('Historic Prices'!B122/100*'Prices and Spreads'!J$4*(1+'Historic Prices'!L122/100*7/12))-'Historic Prices'!N129-'Historic Prices'!P129</f>
        <v>89.0112983864799</v>
      </c>
      <c r="C147" s="87">
        <f>'Prices and Spreads'!K$6/100*'Historic Prices'!D129-('Historic Prices'!C124/100*'Prices and Spreads'!K$4*(1+'Historic Prices'!L122/100*5/12))-'Historic Prices'!O129-'Historic Prices'!Q129</f>
        <v>82.23124424957139</v>
      </c>
      <c r="E147" s="88">
        <v>36251</v>
      </c>
      <c r="F147" s="84">
        <f t="shared" si="31"/>
        <v>89.0112983864799</v>
      </c>
      <c r="G147" s="84">
        <f t="shared" si="32"/>
        <v>82.23124424957139</v>
      </c>
    </row>
    <row r="148" spans="1:7" ht="15.75">
      <c r="A148" s="88">
        <v>36281</v>
      </c>
      <c r="B148" s="87">
        <f>'Prices and Spreads'!J$6/100*'Historic Prices'!D130-('Historic Prices'!B123/100*'Prices and Spreads'!J$4*(1+'Historic Prices'!L123/100*7/12))-'Historic Prices'!N130-'Historic Prices'!P130</f>
        <v>60.49686985306758</v>
      </c>
      <c r="C148" s="87">
        <f>'Prices and Spreads'!K$6/100*'Historic Prices'!D130-('Historic Prices'!C125/100*'Prices and Spreads'!K$4*(1+'Historic Prices'!L123/100*5/12))-'Historic Prices'!O130-'Historic Prices'!Q130</f>
        <v>48.20519339644217</v>
      </c>
      <c r="E148" s="88">
        <v>36281</v>
      </c>
      <c r="F148" s="84">
        <f t="shared" si="31"/>
        <v>60.49686985306758</v>
      </c>
      <c r="G148" s="84">
        <f t="shared" si="32"/>
        <v>48.20519339644217</v>
      </c>
    </row>
    <row r="149" spans="1:7" ht="15.75">
      <c r="A149" s="88">
        <v>36312</v>
      </c>
      <c r="B149" s="87">
        <f>'Prices and Spreads'!J$6/100*'Historic Prices'!D131-('Historic Prices'!B124/100*'Prices and Spreads'!J$4*(1+'Historic Prices'!L124/100*7/12))-'Historic Prices'!N131-'Historic Prices'!P131</f>
        <v>50.91855911738705</v>
      </c>
      <c r="C149" s="87">
        <f>'Prices and Spreads'!K$6/100*'Historic Prices'!D131-('Historic Prices'!C126/100*'Prices and Spreads'!K$4*(1+'Historic Prices'!L124/100*5/12))-'Historic Prices'!O131-'Historic Prices'!Q131</f>
        <v>46.42146740426564</v>
      </c>
      <c r="E149" s="88">
        <v>36312</v>
      </c>
      <c r="F149" s="84">
        <f t="shared" si="31"/>
        <v>50.91855911738705</v>
      </c>
      <c r="G149" s="84">
        <f t="shared" si="32"/>
        <v>46.42146740426564</v>
      </c>
    </row>
    <row r="150" spans="1:7" ht="15.75">
      <c r="A150" s="88">
        <v>36342</v>
      </c>
      <c r="B150" s="87">
        <f>'Prices and Spreads'!J$6/100*'Historic Prices'!D132-('Historic Prices'!B125/100*'Prices and Spreads'!J$4*(1+'Historic Prices'!L125/100*7/12))-'Historic Prices'!N132-'Historic Prices'!P132</f>
        <v>31.22813845588871</v>
      </c>
      <c r="C150" s="87">
        <f>'Prices and Spreads'!K$6/100*'Historic Prices'!D132-('Historic Prices'!C127/100*'Prices and Spreads'!K$4*(1+'Historic Prices'!L125/100*5/12))-'Historic Prices'!O132-'Historic Prices'!Q132</f>
        <v>24.199006765906205</v>
      </c>
      <c r="E150" s="88">
        <v>36342</v>
      </c>
      <c r="F150" s="84">
        <f t="shared" si="31"/>
        <v>31.22813845588871</v>
      </c>
      <c r="G150" s="84">
        <f t="shared" si="32"/>
        <v>24.199006765906205</v>
      </c>
    </row>
    <row r="151" spans="1:7" ht="15.75">
      <c r="A151" s="88">
        <v>36373</v>
      </c>
      <c r="B151" s="87">
        <f>'Prices and Spreads'!J$6/100*'Historic Prices'!D133-('Historic Prices'!B126/100*'Prices and Spreads'!J$4*(1+'Historic Prices'!L126/100*7/12))-'Historic Prices'!N133-'Historic Prices'!P133</f>
        <v>28.0389527049918</v>
      </c>
      <c r="C151" s="87">
        <f>'Prices and Spreads'!K$6/100*'Historic Prices'!D133-('Historic Prices'!C128/100*'Prices and Spreads'!K$4*(1+'Historic Prices'!L126/100*5/12))-'Historic Prices'!O133-'Historic Prices'!Q133</f>
        <v>54.763127410626964</v>
      </c>
      <c r="E151" s="88">
        <v>36373</v>
      </c>
      <c r="F151" s="84">
        <f t="shared" si="31"/>
        <v>28.0389527049918</v>
      </c>
      <c r="G151" s="84">
        <f t="shared" si="32"/>
        <v>54.763127410626964</v>
      </c>
    </row>
    <row r="152" spans="1:7" ht="15.75">
      <c r="A152" s="88">
        <v>36404</v>
      </c>
      <c r="B152" s="87">
        <f>'Prices and Spreads'!J$6/100*'Historic Prices'!D134-('Historic Prices'!B127/100*'Prices and Spreads'!J$4*(1+'Historic Prices'!L127/100*7/12))-'Historic Prices'!N134-'Historic Prices'!P134</f>
        <v>26.30359481180173</v>
      </c>
      <c r="C152" s="87">
        <f>'Prices and Spreads'!K$6/100*'Historic Prices'!D134-('Historic Prices'!C129/100*'Prices and Spreads'!K$4*(1+'Historic Prices'!L127/100*5/12))-'Historic Prices'!O134-'Historic Prices'!Q134</f>
        <v>71.50472704219278</v>
      </c>
      <c r="E152" s="88">
        <v>36404</v>
      </c>
      <c r="F152" s="84">
        <f t="shared" si="31"/>
        <v>26.30359481180173</v>
      </c>
      <c r="G152" s="84">
        <f t="shared" si="32"/>
        <v>71.50472704219278</v>
      </c>
    </row>
    <row r="153" spans="1:7" ht="15.75">
      <c r="A153" s="88">
        <v>36434</v>
      </c>
      <c r="B153" s="87">
        <f>'Prices and Spreads'!J$6/100*'Historic Prices'!D135-('Historic Prices'!B128/100*'Prices and Spreads'!J$4*(1+'Historic Prices'!L128/100*7/12))-'Historic Prices'!N135-'Historic Prices'!P135</f>
        <v>49.243868500109556</v>
      </c>
      <c r="C153" s="87">
        <f>'Prices and Spreads'!K$6/100*'Historic Prices'!D135-('Historic Prices'!C130/100*'Prices and Spreads'!K$4*(1+'Historic Prices'!L128/100*5/12))-'Historic Prices'!O135-'Historic Prices'!Q135</f>
        <v>120.41607889085925</v>
      </c>
      <c r="E153" s="88">
        <v>36434</v>
      </c>
      <c r="F153" s="84">
        <f t="shared" si="31"/>
        <v>49.243868500109556</v>
      </c>
      <c r="G153" s="84">
        <f t="shared" si="32"/>
        <v>120.41607889085925</v>
      </c>
    </row>
    <row r="154" spans="1:7" ht="15.75">
      <c r="A154" s="88">
        <v>36465</v>
      </c>
      <c r="B154" s="87">
        <f>'Prices and Spreads'!J$6/100*'Historic Prices'!D136-('Historic Prices'!B129/100*'Prices and Spreads'!J$4*(1+'Historic Prices'!L129/100*7/12))-'Historic Prices'!N136-'Historic Prices'!P136</f>
        <v>59.702130917254834</v>
      </c>
      <c r="C154" s="87">
        <f>'Prices and Spreads'!K$6/100*'Historic Prices'!D136-('Historic Prices'!C131/100*'Prices and Spreads'!K$4*(1+'Historic Prices'!L129/100*5/12))-'Historic Prices'!O136-'Historic Prices'!Q136</f>
        <v>95.58973255532435</v>
      </c>
      <c r="E154" s="88">
        <v>36465</v>
      </c>
      <c r="F154" s="84">
        <f t="shared" si="31"/>
        <v>59.702130917254834</v>
      </c>
      <c r="G154" s="84">
        <f t="shared" si="32"/>
        <v>95.58973255532435</v>
      </c>
    </row>
    <row r="155" spans="1:7" ht="15.75">
      <c r="A155" s="88">
        <v>36495</v>
      </c>
      <c r="B155" s="87">
        <f>'Prices and Spreads'!J$6/100*'Historic Prices'!D137-('Historic Prices'!B130/100*'Prices and Spreads'!J$4*(1+'Historic Prices'!L130/100*7/12))-'Historic Prices'!N137-'Historic Prices'!P137</f>
        <v>79.81506528227203</v>
      </c>
      <c r="C155" s="87">
        <f>'Prices and Spreads'!K$6/100*'Historic Prices'!D137-('Historic Prices'!C132/100*'Prices and Spreads'!K$4*(1+'Historic Prices'!L130/100*5/12))-'Historic Prices'!O137-'Historic Prices'!Q137</f>
        <v>85.95347250269631</v>
      </c>
      <c r="E155" s="88">
        <v>36495</v>
      </c>
      <c r="F155" s="84">
        <f t="shared" si="31"/>
        <v>79.81506528227203</v>
      </c>
      <c r="G155" s="84">
        <f t="shared" si="32"/>
        <v>85.95347250269631</v>
      </c>
    </row>
    <row r="156" spans="1:7" ht="15.75">
      <c r="A156" s="88">
        <v>36526</v>
      </c>
      <c r="B156" s="87">
        <f>'Prices and Spreads'!J$6/100*'Historic Prices'!D138-('Historic Prices'!B131/100*'Prices and Spreads'!J$4*(1+'Historic Prices'!L131/100*7/12))-'Historic Prices'!N138-'Historic Prices'!P138</f>
        <v>62.73355432405825</v>
      </c>
      <c r="C156" s="87">
        <f>'Prices and Spreads'!K$6/100*'Historic Prices'!D138-('Historic Prices'!C133/100*'Prices and Spreads'!K$4*(1+'Historic Prices'!L131/100*5/12))-'Historic Prices'!O138-'Historic Prices'!Q138</f>
        <v>70.9755656211228</v>
      </c>
      <c r="E156" s="88">
        <v>36526</v>
      </c>
      <c r="F156" s="84">
        <f t="shared" si="31"/>
        <v>62.73355432405825</v>
      </c>
      <c r="G156" s="84">
        <f t="shared" si="32"/>
        <v>70.9755656211228</v>
      </c>
    </row>
    <row r="157" spans="1:7" ht="15.75">
      <c r="A157" s="88">
        <v>36557</v>
      </c>
      <c r="B157" s="87">
        <f>'Prices and Spreads'!J$6/100*'Historic Prices'!D139-('Historic Prices'!B132/100*'Prices and Spreads'!J$4*(1+'Historic Prices'!L132/100*7/12))-'Historic Prices'!N139-'Historic Prices'!P139</f>
        <v>46.20195929231474</v>
      </c>
      <c r="C157" s="87">
        <f>'Prices and Spreads'!K$6/100*'Historic Prices'!D139-('Historic Prices'!C134/100*'Prices and Spreads'!K$4*(1+'Historic Prices'!L132/100*5/12))-'Historic Prices'!O139-'Historic Prices'!Q139</f>
        <v>43.19722916718494</v>
      </c>
      <c r="E157" s="88">
        <v>36557</v>
      </c>
      <c r="F157" s="84">
        <f t="shared" si="31"/>
        <v>46.20195929231474</v>
      </c>
      <c r="G157" s="84">
        <f t="shared" si="32"/>
        <v>43.19722916718494</v>
      </c>
    </row>
    <row r="158" spans="1:7" ht="15.75">
      <c r="A158" s="88">
        <v>36586</v>
      </c>
      <c r="B158" s="87">
        <f>'Prices and Spreads'!J$6/100*'Historic Prices'!D140-('Historic Prices'!B133/100*'Prices and Spreads'!J$4*(1+'Historic Prices'!L133/100*7/12))-'Historic Prices'!N140-'Historic Prices'!P140</f>
        <v>99.3376693960324</v>
      </c>
      <c r="C158" s="87">
        <f>'Prices and Spreads'!K$6/100*'Historic Prices'!D140-('Historic Prices'!C135/100*'Prices and Spreads'!K$4*(1+'Historic Prices'!L133/100*5/12))-'Historic Prices'!O140-'Historic Prices'!Q140</f>
        <v>77.16503827904549</v>
      </c>
      <c r="E158" s="88">
        <v>36586</v>
      </c>
      <c r="F158" s="84">
        <f t="shared" si="31"/>
        <v>99.3376693960324</v>
      </c>
      <c r="G158" s="84">
        <f t="shared" si="32"/>
        <v>77.16503827904549</v>
      </c>
    </row>
    <row r="159" spans="1:7" ht="15.75">
      <c r="A159" s="88">
        <v>36617</v>
      </c>
      <c r="B159" s="87">
        <f>'Prices and Spreads'!J$6/100*'Historic Prices'!D141-('Historic Prices'!B134/100*'Prices and Spreads'!J$4*(1+'Historic Prices'!L134/100*7/12))-'Historic Prices'!N141-'Historic Prices'!P141</f>
        <v>115.57831074975041</v>
      </c>
      <c r="C159" s="87">
        <f>'Prices and Spreads'!K$6/100*'Historic Prices'!D141-('Historic Prices'!C136/100*'Prices and Spreads'!K$4*(1+'Historic Prices'!L134/100*5/12))-'Historic Prices'!O141-'Historic Prices'!Q141</f>
        <v>74.15923393695269</v>
      </c>
      <c r="E159" s="88">
        <v>36617</v>
      </c>
      <c r="F159" s="84">
        <f t="shared" si="31"/>
        <v>115.57831074975041</v>
      </c>
      <c r="G159" s="84">
        <f t="shared" si="32"/>
        <v>74.15923393695269</v>
      </c>
    </row>
    <row r="160" spans="1:7" ht="15.75">
      <c r="A160" s="88">
        <v>36647</v>
      </c>
      <c r="B160" s="87">
        <f>'Prices and Spreads'!J$6/100*'Historic Prices'!D142-('Historic Prices'!B135/100*'Prices and Spreads'!J$4*(1+'Historic Prices'!L135/100*7/12))-'Historic Prices'!N142-'Historic Prices'!P142</f>
        <v>109.50933706144264</v>
      </c>
      <c r="C160" s="87">
        <f>'Prices and Spreads'!K$6/100*'Historic Prices'!D142-('Historic Prices'!C137/100*'Prices and Spreads'!K$4*(1+'Historic Prices'!L135/100*5/12))-'Historic Prices'!O142-'Historic Prices'!Q142</f>
        <v>13.001421897495348</v>
      </c>
      <c r="E160" s="88">
        <v>36647</v>
      </c>
      <c r="F160" s="84">
        <f t="shared" si="31"/>
        <v>109.50933706144264</v>
      </c>
      <c r="G160" s="84">
        <f t="shared" si="32"/>
        <v>13.001421897495348</v>
      </c>
    </row>
    <row r="161" spans="1:7" ht="15.75">
      <c r="A161" s="88">
        <v>36678</v>
      </c>
      <c r="B161" s="87">
        <f>'Prices and Spreads'!J$6/100*'Historic Prices'!D143-('Historic Prices'!B136/100*'Prices and Spreads'!J$4*(1+'Historic Prices'!L136/100*7/12))-'Historic Prices'!N143-'Historic Prices'!P143</f>
        <v>44.567672123733246</v>
      </c>
      <c r="C161" s="87">
        <f>'Prices and Spreads'!K$6/100*'Historic Prices'!D143-('Historic Prices'!C138/100*'Prices and Spreads'!K$4*(1+'Historic Prices'!L136/100*5/12))-'Historic Prices'!O143-'Historic Prices'!Q143</f>
        <v>1.447877377758985</v>
      </c>
      <c r="E161" s="88">
        <v>36678</v>
      </c>
      <c r="F161" s="84">
        <f t="shared" si="31"/>
        <v>44.567672123733246</v>
      </c>
      <c r="G161" s="84">
        <f t="shared" si="32"/>
        <v>1.447877377758985</v>
      </c>
    </row>
    <row r="162" spans="1:7" ht="15.75">
      <c r="A162" s="88">
        <v>36708</v>
      </c>
      <c r="B162" s="87">
        <f>'Prices and Spreads'!J$6/100*'Historic Prices'!D144-('Historic Prices'!B137/100*'Prices and Spreads'!J$4*(1+'Historic Prices'!L137/100*7/12))-'Historic Prices'!N144-'Historic Prices'!P144</f>
        <v>-17.558269188557404</v>
      </c>
      <c r="C162" s="87">
        <f>'Prices and Spreads'!K$6/100*'Historic Prices'!D144-('Historic Prices'!C139/100*'Prices and Spreads'!K$4*(1+'Historic Prices'!L137/100*5/12))-'Historic Prices'!O144-'Historic Prices'!Q144</f>
        <v>-12.026837122256879</v>
      </c>
      <c r="E162" s="88">
        <v>36708</v>
      </c>
      <c r="F162" s="84">
        <f t="shared" si="31"/>
        <v>-17.558269188557404</v>
      </c>
      <c r="G162" s="84">
        <f t="shared" si="32"/>
        <v>-12.026837122256879</v>
      </c>
    </row>
    <row r="163" spans="1:7" ht="15.75">
      <c r="A163" s="88">
        <v>36739</v>
      </c>
      <c r="B163" s="87">
        <f>'Prices and Spreads'!J$6/100*'Historic Prices'!D145-('Historic Prices'!B138/100*'Prices and Spreads'!J$4*(1+'Historic Prices'!L138/100*7/12))-'Historic Prices'!N145-'Historic Prices'!P145</f>
        <v>-58.32392045882224</v>
      </c>
      <c r="C163" s="87">
        <f>'Prices and Spreads'!K$6/100*'Historic Prices'!D145-('Historic Prices'!C140/100*'Prices and Spreads'!K$4*(1+'Historic Prices'!L138/100*5/12))-'Historic Prices'!O145-'Historic Prices'!Q145</f>
        <v>-33.340404161752915</v>
      </c>
      <c r="E163" s="88">
        <v>36739</v>
      </c>
      <c r="F163" s="84">
        <f t="shared" si="31"/>
        <v>-58.32392045882224</v>
      </c>
      <c r="G163" s="84">
        <f t="shared" si="32"/>
        <v>-33.340404161752915</v>
      </c>
    </row>
    <row r="164" spans="1:7" ht="15.75">
      <c r="A164" s="88">
        <v>36770</v>
      </c>
      <c r="B164" s="87">
        <f>'Prices and Spreads'!J$6/100*'Historic Prices'!D146-('Historic Prices'!B139/100*'Prices and Spreads'!J$4*(1+'Historic Prices'!L139/100*7/12))-'Historic Prices'!N146-'Historic Prices'!P146</f>
        <v>-83.71450761442907</v>
      </c>
      <c r="C164" s="87">
        <f>'Prices and Spreads'!K$6/100*'Historic Prices'!D146-('Historic Prices'!C141/100*'Prices and Spreads'!K$4*(1+'Historic Prices'!L139/100*5/12))-'Historic Prices'!O146-'Historic Prices'!Q146</f>
        <v>-49.20707511975688</v>
      </c>
      <c r="E164" s="88">
        <v>36770</v>
      </c>
      <c r="F164" s="84">
        <f t="shared" si="31"/>
        <v>-83.71450761442907</v>
      </c>
      <c r="G164" s="84">
        <f t="shared" si="32"/>
        <v>-49.20707511975688</v>
      </c>
    </row>
    <row r="165" spans="1:7" ht="15.75">
      <c r="A165" s="88">
        <v>36800</v>
      </c>
      <c r="B165" s="87">
        <f>'Prices and Spreads'!J$6/100*'Historic Prices'!D147-('Historic Prices'!B140/100*'Prices and Spreads'!J$4*(1+'Historic Prices'!L140/100*7/12))-'Historic Prices'!N147-'Historic Prices'!P147</f>
        <v>-61.642930218147</v>
      </c>
      <c r="C165" s="87">
        <f>'Prices and Spreads'!K$6/100*'Historic Prices'!D147-('Historic Prices'!C142/100*'Prices and Spreads'!K$4*(1+'Historic Prices'!L140/100*5/12))-'Historic Prices'!O147-'Historic Prices'!Q147</f>
        <v>-4.5254438762406295</v>
      </c>
      <c r="E165" s="88">
        <v>36800</v>
      </c>
      <c r="F165" s="84">
        <f aca="true" t="shared" si="33" ref="F165:F227">B165</f>
        <v>-61.642930218147</v>
      </c>
      <c r="G165" s="84">
        <f aca="true" t="shared" si="34" ref="G165:G227">C165</f>
        <v>-4.5254438762406295</v>
      </c>
    </row>
    <row r="166" spans="1:7" ht="15.75">
      <c r="A166" s="88">
        <v>36831</v>
      </c>
      <c r="B166" s="87">
        <f>'Prices and Spreads'!J$6/100*'Historic Prices'!D148-('Historic Prices'!B141/100*'Prices and Spreads'!J$4*(1+'Historic Prices'!L141/100*7/12))-'Historic Prices'!N148-'Historic Prices'!P148</f>
        <v>-11.531639417825886</v>
      </c>
      <c r="C166" s="87">
        <f>'Prices and Spreads'!K$6/100*'Historic Prices'!D148-('Historic Prices'!C143/100*'Prices and Spreads'!K$4*(1+'Historic Prices'!L141/100*5/12))-'Historic Prices'!O148-'Historic Prices'!Q148</f>
        <v>39.904556684490345</v>
      </c>
      <c r="E166" s="88">
        <v>36831</v>
      </c>
      <c r="F166" s="84">
        <f t="shared" si="33"/>
        <v>-11.531639417825886</v>
      </c>
      <c r="G166" s="84">
        <f t="shared" si="34"/>
        <v>39.904556684490345</v>
      </c>
    </row>
    <row r="167" spans="1:7" ht="15.75">
      <c r="A167" s="88">
        <v>36861</v>
      </c>
      <c r="B167" s="87">
        <f>'Prices and Spreads'!J$6/100*'Historic Prices'!D149-('Historic Prices'!B142/100*'Prices and Spreads'!J$4*(1+'Historic Prices'!L142/100*7/12))-'Historic Prices'!N149-'Historic Prices'!P149</f>
        <v>78.49008003809007</v>
      </c>
      <c r="C167" s="87">
        <f>'Prices and Spreads'!K$6/100*'Historic Prices'!D149-('Historic Prices'!C144/100*'Prices and Spreads'!K$4*(1+'Historic Prices'!L142/100*5/12))-'Historic Prices'!O149-'Historic Prices'!Q149</f>
        <v>48.99860124109266</v>
      </c>
      <c r="E167" s="88">
        <v>36861</v>
      </c>
      <c r="F167" s="84">
        <f t="shared" si="33"/>
        <v>78.49008003809007</v>
      </c>
      <c r="G167" s="84">
        <f t="shared" si="34"/>
        <v>48.99860124109266</v>
      </c>
    </row>
    <row r="168" spans="1:7" ht="15.75">
      <c r="A168" s="88">
        <v>36892</v>
      </c>
      <c r="B168" s="87">
        <f>'Prices and Spreads'!J$6/100*'Historic Prices'!D150-('Historic Prices'!B143/100*'Prices and Spreads'!J$4*(1+'Historic Prices'!L143/100*7/12))-'Historic Prices'!N150-'Historic Prices'!P150</f>
        <v>107.65887359556754</v>
      </c>
      <c r="C168" s="87">
        <f>'Prices and Spreads'!K$6/100*'Historic Prices'!D150-('Historic Prices'!C145/100*'Prices and Spreads'!K$4*(1+'Historic Prices'!L143/100*5/12))-'Historic Prices'!O150-'Historic Prices'!Q150</f>
        <v>122.96249788318951</v>
      </c>
      <c r="E168" s="88">
        <v>36892</v>
      </c>
      <c r="F168" s="84">
        <f t="shared" si="33"/>
        <v>107.65887359556754</v>
      </c>
      <c r="G168" s="84">
        <f t="shared" si="34"/>
        <v>122.96249788318951</v>
      </c>
    </row>
    <row r="169" spans="1:7" ht="15.75">
      <c r="A169" s="88">
        <v>36923</v>
      </c>
      <c r="B169" s="87">
        <f>'Prices and Spreads'!J$6/100*'Historic Prices'!D151-('Historic Prices'!B144/100*'Prices and Spreads'!J$4*(1+'Historic Prices'!L144/100*7/12))-'Historic Prices'!N151-'Historic Prices'!P151</f>
        <v>78.4994007258679</v>
      </c>
      <c r="C169" s="87">
        <f>'Prices and Spreads'!K$6/100*'Historic Prices'!D151-('Historic Prices'!C146/100*'Prices and Spreads'!K$4*(1+'Historic Prices'!L144/100*5/12))-'Historic Prices'!O151-'Historic Prices'!Q151</f>
        <v>147.83116519686706</v>
      </c>
      <c r="E169" s="88">
        <v>36923</v>
      </c>
      <c r="F169" s="84">
        <f t="shared" si="33"/>
        <v>78.4994007258679</v>
      </c>
      <c r="G169" s="84">
        <f t="shared" si="34"/>
        <v>147.83116519686706</v>
      </c>
    </row>
    <row r="170" spans="1:7" ht="15.75">
      <c r="A170" s="88">
        <v>36951</v>
      </c>
      <c r="B170" s="87">
        <f>'Prices and Spreads'!J$6/100*'Historic Prices'!D152-('Historic Prices'!B145/100*'Prices and Spreads'!J$4*(1+'Historic Prices'!L145/100*7/12))-'Historic Prices'!N152-'Historic Prices'!P152</f>
        <v>138.17272115694897</v>
      </c>
      <c r="C170" s="87">
        <f>'Prices and Spreads'!K$6/100*'Historic Prices'!D152-('Historic Prices'!C147/100*'Prices and Spreads'!K$4*(1+'Historic Prices'!L145/100*5/12))-'Historic Prices'!O152-'Historic Prices'!Q152</f>
        <v>148.07934148224354</v>
      </c>
      <c r="E170" s="88">
        <v>36951</v>
      </c>
      <c r="F170" s="84">
        <f t="shared" si="33"/>
        <v>138.17272115694897</v>
      </c>
      <c r="G170" s="84">
        <f t="shared" si="34"/>
        <v>148.07934148224354</v>
      </c>
    </row>
    <row r="171" spans="1:7" ht="15.75">
      <c r="A171" s="88">
        <v>36982</v>
      </c>
      <c r="B171" s="87">
        <f>'Prices and Spreads'!J$6/100*'Historic Prices'!D153-('Historic Prices'!B146/100*'Prices and Spreads'!J$4*(1+'Historic Prices'!L146/100*7/12))-'Historic Prices'!N153-'Historic Prices'!P153</f>
        <v>137.146845130162</v>
      </c>
      <c r="C171" s="87">
        <f>'Prices and Spreads'!K$6/100*'Historic Prices'!D153-('Historic Prices'!C148/100*'Prices and Spreads'!K$4*(1+'Historic Prices'!L146/100*5/12))-'Historic Prices'!O153-'Historic Prices'!Q153</f>
        <v>82.88135766797451</v>
      </c>
      <c r="E171" s="88">
        <v>36982</v>
      </c>
      <c r="F171" s="84">
        <f t="shared" si="33"/>
        <v>137.146845130162</v>
      </c>
      <c r="G171" s="84">
        <f t="shared" si="34"/>
        <v>82.88135766797451</v>
      </c>
    </row>
    <row r="172" spans="1:7" ht="15.75">
      <c r="A172" s="88">
        <v>37012</v>
      </c>
      <c r="B172" s="87">
        <f>'Prices and Spreads'!J$6/100*'Historic Prices'!D154-('Historic Prices'!B147/100*'Prices and Spreads'!J$4*(1+'Historic Prices'!L147/100*7/12))-'Historic Prices'!N154-'Historic Prices'!P154</f>
        <v>129.92835775851032</v>
      </c>
      <c r="C172" s="87">
        <f>'Prices and Spreads'!K$6/100*'Historic Prices'!D154-('Historic Prices'!C149/100*'Prices and Spreads'!K$4*(1+'Historic Prices'!L147/100*5/12))-'Historic Prices'!O154-'Historic Prices'!Q154</f>
        <v>59.96282256832916</v>
      </c>
      <c r="E172" s="88">
        <v>37012</v>
      </c>
      <c r="F172" s="84">
        <f t="shared" si="33"/>
        <v>129.92835775851032</v>
      </c>
      <c r="G172" s="84">
        <f t="shared" si="34"/>
        <v>59.96282256832916</v>
      </c>
    </row>
    <row r="173" spans="1:7" ht="15.75">
      <c r="A173" s="88">
        <v>37043</v>
      </c>
      <c r="B173" s="87">
        <f>'Prices and Spreads'!J$6/100*'Historic Prices'!D155-('Historic Prices'!B148/100*'Prices and Spreads'!J$4*(1+'Historic Prices'!L148/100*7/12))-'Historic Prices'!N155-'Historic Prices'!P155</f>
        <v>94.80195221442631</v>
      </c>
      <c r="C173" s="87">
        <f>'Prices and Spreads'!K$6/100*'Historic Prices'!D155-('Historic Prices'!C150/100*'Prices and Spreads'!K$4*(1+'Historic Prices'!L148/100*5/12))-'Historic Prices'!O155-'Historic Prices'!Q155</f>
        <v>80.8893544545335</v>
      </c>
      <c r="E173" s="88">
        <v>37043</v>
      </c>
      <c r="F173" s="84">
        <f t="shared" si="33"/>
        <v>94.80195221442631</v>
      </c>
      <c r="G173" s="84">
        <f t="shared" si="34"/>
        <v>80.8893544545335</v>
      </c>
    </row>
    <row r="174" spans="1:7" ht="15.75">
      <c r="A174" s="88">
        <v>37073</v>
      </c>
      <c r="B174" s="87">
        <f>'Prices and Spreads'!J$6/100*'Historic Prices'!D156-('Historic Prices'!B149/100*'Prices and Spreads'!J$4*(1+'Historic Prices'!L149/100*7/12))-'Historic Prices'!N156-'Historic Prices'!P156</f>
        <v>58.740674442384574</v>
      </c>
      <c r="C174" s="87">
        <f>'Prices and Spreads'!K$6/100*'Historic Prices'!D156-('Historic Prices'!C151/100*'Prices and Spreads'!K$4*(1+'Historic Prices'!L149/100*5/12))-'Historic Prices'!O156-'Historic Prices'!Q156</f>
        <v>44.78832881184549</v>
      </c>
      <c r="E174" s="88">
        <v>37073</v>
      </c>
      <c r="F174" s="84">
        <f t="shared" si="33"/>
        <v>58.740674442384574</v>
      </c>
      <c r="G174" s="84">
        <f t="shared" si="34"/>
        <v>44.78832881184549</v>
      </c>
    </row>
    <row r="175" spans="1:7" ht="15.75">
      <c r="A175" s="88">
        <v>37104</v>
      </c>
      <c r="B175" s="87">
        <f>'Prices and Spreads'!J$6/100*'Historic Prices'!D157-('Historic Prices'!B150/100*'Prices and Spreads'!J$4*(1+'Historic Prices'!L150/100*7/12))-'Historic Prices'!N157-'Historic Prices'!P157</f>
        <v>21.978843384906753</v>
      </c>
      <c r="C175" s="87">
        <f>'Prices and Spreads'!K$6/100*'Historic Prices'!D157-('Historic Prices'!C152/100*'Prices and Spreads'!K$4*(1+'Historic Prices'!L150/100*5/12))-'Historic Prices'!O157-'Historic Prices'!Q157</f>
        <v>30.2363634262324</v>
      </c>
      <c r="E175" s="88">
        <v>37104</v>
      </c>
      <c r="F175" s="84">
        <f t="shared" si="33"/>
        <v>21.978843384906753</v>
      </c>
      <c r="G175" s="84">
        <f t="shared" si="34"/>
        <v>30.2363634262324</v>
      </c>
    </row>
    <row r="176" spans="1:7" ht="15.75">
      <c r="A176" s="88">
        <v>37135</v>
      </c>
      <c r="B176" s="87">
        <f>'Prices and Spreads'!J$6/100*'Historic Prices'!D158-('Historic Prices'!B151/100*'Prices and Spreads'!J$4*(1+'Historic Prices'!L151/100*7/12))-'Historic Prices'!N158-'Historic Prices'!P158</f>
        <v>-25.390959515483672</v>
      </c>
      <c r="C176" s="87">
        <f>'Prices and Spreads'!K$6/100*'Historic Prices'!D158-('Historic Prices'!C153/100*'Prices and Spreads'!K$4*(1+'Historic Prices'!L151/100*5/12))-'Historic Prices'!O158-'Historic Prices'!Q158</f>
        <v>-24.899840360323765</v>
      </c>
      <c r="E176" s="88">
        <v>37135</v>
      </c>
      <c r="F176" s="84">
        <f t="shared" si="33"/>
        <v>-25.390959515483672</v>
      </c>
      <c r="G176" s="84">
        <f t="shared" si="34"/>
        <v>-24.899840360323765</v>
      </c>
    </row>
    <row r="177" spans="1:7" ht="15.75">
      <c r="A177" s="88">
        <v>37165</v>
      </c>
      <c r="B177" s="87">
        <f>'Prices and Spreads'!J$6/100*'Historic Prices'!D159-('Historic Prices'!B152/100*'Prices and Spreads'!J$4*(1+'Historic Prices'!L152/100*7/12))-'Historic Prices'!N159-'Historic Prices'!P159</f>
        <v>-84.1422120308288</v>
      </c>
      <c r="C177" s="87">
        <f>'Prices and Spreads'!K$6/100*'Historic Prices'!D159-('Historic Prices'!C154/100*'Prices and Spreads'!K$4*(1+'Historic Prices'!L152/100*5/12))-'Historic Prices'!O159-'Historic Prices'!Q159</f>
        <v>-51.33885644522975</v>
      </c>
      <c r="E177" s="88">
        <v>37165</v>
      </c>
      <c r="F177" s="84">
        <f t="shared" si="33"/>
        <v>-84.1422120308288</v>
      </c>
      <c r="G177" s="84">
        <f t="shared" si="34"/>
        <v>-51.33885644522975</v>
      </c>
    </row>
    <row r="178" spans="1:7" ht="15.75">
      <c r="A178" s="88">
        <v>37196</v>
      </c>
      <c r="B178" s="87">
        <f>'Prices and Spreads'!J$6/100*'Historic Prices'!D160-('Historic Prices'!B153/100*'Prices and Spreads'!J$4*(1+'Historic Prices'!L153/100*7/12))-'Historic Prices'!N160-'Historic Prices'!P160</f>
        <v>-123.75800255956761</v>
      </c>
      <c r="C178" s="87">
        <f>'Prices and Spreads'!K$6/100*'Historic Prices'!D160-('Historic Prices'!C155/100*'Prices and Spreads'!K$4*(1+'Historic Prices'!L153/100*5/12))-'Historic Prices'!O160-'Historic Prices'!Q160</f>
        <v>-104.35908528839096</v>
      </c>
      <c r="E178" s="88">
        <v>37196</v>
      </c>
      <c r="F178" s="84">
        <f t="shared" si="33"/>
        <v>-123.75800255956761</v>
      </c>
      <c r="G178" s="84">
        <f t="shared" si="34"/>
        <v>-104.35908528839096</v>
      </c>
    </row>
    <row r="179" spans="1:7" ht="15.75">
      <c r="A179" s="88">
        <v>37226</v>
      </c>
      <c r="B179" s="87">
        <f>'Prices and Spreads'!J$6/100*'Historic Prices'!D161-('Historic Prices'!B154/100*'Prices and Spreads'!J$4*(1+'Historic Prices'!L154/100*7/12))-'Historic Prices'!N161-'Historic Prices'!P161</f>
        <v>-94.22053451548342</v>
      </c>
      <c r="C179" s="87">
        <f>'Prices and Spreads'!K$6/100*'Historic Prices'!D161-('Historic Prices'!C156/100*'Prices and Spreads'!K$4*(1+'Historic Prices'!L154/100*5/12))-'Historic Prices'!O161-'Historic Prices'!Q161</f>
        <v>-104.01315451716529</v>
      </c>
      <c r="E179" s="88">
        <v>37226</v>
      </c>
      <c r="F179" s="84">
        <f t="shared" si="33"/>
        <v>-94.22053451548342</v>
      </c>
      <c r="G179" s="84">
        <f t="shared" si="34"/>
        <v>-104.01315451716529</v>
      </c>
    </row>
    <row r="180" spans="1:7" ht="15.75">
      <c r="A180" s="88">
        <v>37257</v>
      </c>
      <c r="B180" s="87">
        <f>'Prices and Spreads'!J$6/100*'Historic Prices'!D162-('Historic Prices'!B155/100*'Prices and Spreads'!J$4*(1+'Historic Prices'!L155/100*7/12))-'Historic Prices'!N162-'Historic Prices'!P162</f>
        <v>-68.50716028557363</v>
      </c>
      <c r="C180" s="87">
        <f>'Prices and Spreads'!K$6/100*'Historic Prices'!D162-('Historic Prices'!C157/100*'Prices and Spreads'!K$4*(1+'Historic Prices'!L155/100*5/12))-'Historic Prices'!O162-'Historic Prices'!Q162</f>
        <v>-56.755733202896536</v>
      </c>
      <c r="E180" s="88">
        <v>37257</v>
      </c>
      <c r="F180" s="84">
        <f t="shared" si="33"/>
        <v>-68.50716028557363</v>
      </c>
      <c r="G180" s="84">
        <f t="shared" si="34"/>
        <v>-56.755733202896536</v>
      </c>
    </row>
    <row r="181" spans="1:7" ht="15.75">
      <c r="A181" s="88">
        <v>37288</v>
      </c>
      <c r="B181" s="87">
        <f>'Prices and Spreads'!J$6/100*'Historic Prices'!D163-('Historic Prices'!B156/100*'Prices and Spreads'!J$4*(1+'Historic Prices'!L156/100*7/12))-'Historic Prices'!N163-'Historic Prices'!P163</f>
        <v>-4.800182385183177</v>
      </c>
      <c r="C181" s="87">
        <f>'Prices and Spreads'!K$6/100*'Historic Prices'!D163-('Historic Prices'!C158/100*'Prices and Spreads'!K$4*(1+'Historic Prices'!L156/100*5/12))-'Historic Prices'!O163-'Historic Prices'!Q163</f>
        <v>-17.108422945821147</v>
      </c>
      <c r="E181" s="88">
        <v>37288</v>
      </c>
      <c r="F181" s="84">
        <f t="shared" si="33"/>
        <v>-4.800182385183177</v>
      </c>
      <c r="G181" s="84">
        <f t="shared" si="34"/>
        <v>-17.108422945821147</v>
      </c>
    </row>
    <row r="182" spans="1:7" ht="15.75">
      <c r="A182" s="88">
        <v>37316</v>
      </c>
      <c r="B182" s="87">
        <f>'Prices and Spreads'!J$6/100*'Historic Prices'!D164-('Historic Prices'!B157/100*'Prices and Spreads'!J$4*(1+'Historic Prices'!L157/100*7/12))-'Historic Prices'!N164-'Historic Prices'!P164</f>
        <v>39.499073928990896</v>
      </c>
      <c r="C182" s="87">
        <f>'Prices and Spreads'!K$6/100*'Historic Prices'!D164-('Historic Prices'!C159/100*'Prices and Spreads'!K$4*(1+'Historic Prices'!L157/100*5/12))-'Historic Prices'!O164-'Historic Prices'!Q164</f>
        <v>32.34083651113575</v>
      </c>
      <c r="E182" s="88">
        <v>37316</v>
      </c>
      <c r="F182" s="84">
        <f t="shared" si="33"/>
        <v>39.499073928990896</v>
      </c>
      <c r="G182" s="84">
        <f t="shared" si="34"/>
        <v>32.34083651113575</v>
      </c>
    </row>
    <row r="183" spans="1:7" ht="15.75">
      <c r="A183" s="88">
        <v>37347</v>
      </c>
      <c r="B183" s="87">
        <f>'Prices and Spreads'!J$6/100*'Historic Prices'!D165-('Historic Prices'!B158/100*'Prices and Spreads'!J$4*(1+'Historic Prices'!L158/100*7/12))-'Historic Prices'!N165-'Historic Prices'!P165</f>
        <v>-12.65056357100903</v>
      </c>
      <c r="C183" s="87">
        <f>'Prices and Spreads'!K$6/100*'Historic Prices'!D165-('Historic Prices'!C160/100*'Prices and Spreads'!K$4*(1+'Historic Prices'!L158/100*5/12))-'Historic Prices'!O165-'Historic Prices'!Q165</f>
        <v>13.80121151113579</v>
      </c>
      <c r="E183" s="88">
        <v>37347</v>
      </c>
      <c r="F183" s="84">
        <f t="shared" si="33"/>
        <v>-12.65056357100903</v>
      </c>
      <c r="G183" s="84">
        <f t="shared" si="34"/>
        <v>13.80121151113579</v>
      </c>
    </row>
    <row r="184" spans="1:7" ht="15.75">
      <c r="A184" s="88">
        <v>37377</v>
      </c>
      <c r="B184" s="87">
        <f>'Prices and Spreads'!J$6/100*'Historic Prices'!D166-('Historic Prices'!B159/100*'Prices and Spreads'!J$4*(1+'Historic Prices'!L159/100*7/12))-'Historic Prices'!N166-'Historic Prices'!P166</f>
        <v>4.030064329381304</v>
      </c>
      <c r="C184" s="87">
        <f>'Prices and Spreads'!K$6/100*'Historic Prices'!D166-('Historic Prices'!C161/100*'Prices and Spreads'!K$4*(1+'Historic Prices'!L159/100*5/12))-'Historic Prices'!O166-'Historic Prices'!Q166</f>
        <v>-24.114439131552402</v>
      </c>
      <c r="E184" s="88">
        <v>37377</v>
      </c>
      <c r="F184" s="84">
        <f t="shared" si="33"/>
        <v>4.030064329381304</v>
      </c>
      <c r="G184" s="84">
        <f t="shared" si="34"/>
        <v>-24.114439131552402</v>
      </c>
    </row>
    <row r="185" spans="1:7" ht="15.75">
      <c r="A185" s="88">
        <v>37408</v>
      </c>
      <c r="B185" s="87">
        <f>'Prices and Spreads'!J$6/100*'Historic Prices'!D167-('Historic Prices'!B160/100*'Prices and Spreads'!J$4*(1+'Historic Prices'!L160/100*7/12))-'Historic Prices'!N167-'Historic Prices'!P167</f>
        <v>-33.734745270228274</v>
      </c>
      <c r="C185" s="87">
        <f>'Prices and Spreads'!K$6/100*'Historic Prices'!D167-('Historic Prices'!C162/100*'Prices and Spreads'!K$4*(1+'Historic Prices'!L160/100*5/12))-'Historic Prices'!O167-'Historic Prices'!Q167</f>
        <v>-27.98020531728349</v>
      </c>
      <c r="E185" s="88">
        <v>37408</v>
      </c>
      <c r="F185" s="84">
        <f t="shared" si="33"/>
        <v>-33.734745270228274</v>
      </c>
      <c r="G185" s="84">
        <f t="shared" si="34"/>
        <v>-27.98020531728349</v>
      </c>
    </row>
    <row r="186" spans="1:7" ht="15.75">
      <c r="A186" s="88">
        <v>37438</v>
      </c>
      <c r="B186" s="87">
        <f>'Prices and Spreads'!J$6/100*'Historic Prices'!D168-('Historic Prices'!B161/100*'Prices and Spreads'!J$4*(1+'Historic Prices'!L161/100*7/12))-'Historic Prices'!N168-'Historic Prices'!P168</f>
        <v>-78.74912078362175</v>
      </c>
      <c r="C186" s="87">
        <f>'Prices and Spreads'!K$6/100*'Historic Prices'!D168-('Historic Prices'!C163/100*'Prices and Spreads'!K$4*(1+'Historic Prices'!L161/100*5/12))-'Historic Prices'!O168-'Historic Prices'!Q168</f>
        <v>-55.61110771763835</v>
      </c>
      <c r="E186" s="88">
        <v>37438</v>
      </c>
      <c r="F186" s="84">
        <f t="shared" si="33"/>
        <v>-78.74912078362175</v>
      </c>
      <c r="G186" s="84">
        <f t="shared" si="34"/>
        <v>-55.61110771763835</v>
      </c>
    </row>
    <row r="187" spans="1:7" ht="15.75">
      <c r="A187" s="88">
        <v>37469</v>
      </c>
      <c r="B187" s="87">
        <f>'Prices and Spreads'!J$6/100*'Historic Prices'!D169-('Historic Prices'!B162/100*'Prices and Spreads'!J$4*(1+'Historic Prices'!L162/100*7/12))-'Historic Prices'!N169-'Historic Prices'!P169</f>
        <v>-61.08279455175989</v>
      </c>
      <c r="C187" s="87">
        <f>'Prices and Spreads'!K$6/100*'Historic Prices'!D169-('Historic Prices'!C164/100*'Prices and Spreads'!K$4*(1+'Historic Prices'!L162/100*5/12))-'Historic Prices'!O169-'Historic Prices'!Q169</f>
        <v>-36.79679873297141</v>
      </c>
      <c r="E187" s="88">
        <v>37469</v>
      </c>
      <c r="F187" s="84">
        <f t="shared" si="33"/>
        <v>-61.08279455175989</v>
      </c>
      <c r="G187" s="84">
        <f t="shared" si="34"/>
        <v>-36.79679873297141</v>
      </c>
    </row>
    <row r="188" spans="1:7" ht="15.75">
      <c r="A188" s="88">
        <v>37500</v>
      </c>
      <c r="B188" s="87">
        <f>'Prices and Spreads'!J$6/100*'Historic Prices'!D170-('Historic Prices'!B163/100*'Prices and Spreads'!J$4*(1+'Historic Prices'!L163/100*7/12))-'Historic Prices'!N170-'Historic Prices'!P170</f>
        <v>-75.90430949037852</v>
      </c>
      <c r="C188" s="87">
        <f>'Prices and Spreads'!K$6/100*'Historic Prices'!D170-('Historic Prices'!C165/100*'Prices and Spreads'!K$4*(1+'Historic Prices'!L163/100*5/12))-'Historic Prices'!O170-'Historic Prices'!Q170</f>
        <v>-23.79040609146584</v>
      </c>
      <c r="E188" s="88">
        <v>37500</v>
      </c>
      <c r="F188" s="84">
        <f t="shared" si="33"/>
        <v>-75.90430949037852</v>
      </c>
      <c r="G188" s="84">
        <f t="shared" si="34"/>
        <v>-23.79040609146584</v>
      </c>
    </row>
    <row r="189" spans="1:7" ht="15.75">
      <c r="A189" s="88">
        <v>37530</v>
      </c>
      <c r="B189" s="87">
        <f>'Prices and Spreads'!J$6/100*'Historic Prices'!D171-('Historic Prices'!B164/100*'Prices and Spreads'!J$4*(1+'Historic Prices'!L164/100*7/12))-'Historic Prices'!N171-'Historic Prices'!P171</f>
        <v>-84.27098287347167</v>
      </c>
      <c r="C189" s="87">
        <f>'Prices and Spreads'!K$6/100*'Historic Prices'!D171-('Historic Prices'!C166/100*'Prices and Spreads'!K$4*(1+'Historic Prices'!L164/100*5/12))-'Historic Prices'!O171-'Historic Prices'!Q171</f>
        <v>-15.146544063755996</v>
      </c>
      <c r="E189" s="88">
        <v>37530</v>
      </c>
      <c r="F189" s="84">
        <f t="shared" si="33"/>
        <v>-84.27098287347167</v>
      </c>
      <c r="G189" s="84">
        <f t="shared" si="34"/>
        <v>-15.146544063755996</v>
      </c>
    </row>
    <row r="190" spans="1:7" ht="15.75">
      <c r="A190" s="88">
        <v>37561</v>
      </c>
      <c r="B190" s="87">
        <f>'Prices and Spreads'!J$6/100*'Historic Prices'!D172-('Historic Prices'!B165/100*'Prices and Spreads'!J$4*(1+'Historic Prices'!L165/100*7/12))-'Historic Prices'!N172-'Historic Prices'!P172</f>
        <v>-10.745884156955071</v>
      </c>
      <c r="C190" s="87">
        <f>'Prices and Spreads'!K$6/100*'Historic Prices'!D172-('Historic Prices'!C167/100*'Prices and Spreads'!K$4*(1+'Historic Prices'!L165/100*5/12))-'Historic Prices'!O172-'Historic Prices'!Q172</f>
        <v>49.12004680711499</v>
      </c>
      <c r="E190" s="88">
        <v>37561</v>
      </c>
      <c r="F190" s="84">
        <f t="shared" si="33"/>
        <v>-10.745884156955071</v>
      </c>
      <c r="G190" s="84">
        <f t="shared" si="34"/>
        <v>49.12004680711499</v>
      </c>
    </row>
    <row r="191" spans="1:7" ht="15.75">
      <c r="A191" s="88">
        <v>37591</v>
      </c>
      <c r="B191" s="87">
        <f>'Prices and Spreads'!J$6/100*'Historic Prices'!D173-('Historic Prices'!B166/100*'Prices and Spreads'!J$4*(1+'Historic Prices'!L166/100*7/12))-'Historic Prices'!N173-'Historic Prices'!P173</f>
        <v>25.444027059561392</v>
      </c>
      <c r="C191" s="87">
        <f>'Prices and Spreads'!K$6/100*'Historic Prices'!D173-('Historic Prices'!C168/100*'Prices and Spreads'!K$4*(1+'Historic Prices'!L166/100*5/12))-'Historic Prices'!O173-'Historic Prices'!Q173</f>
        <v>58.46169520687846</v>
      </c>
      <c r="E191" s="88">
        <v>37591</v>
      </c>
      <c r="F191" s="84">
        <f t="shared" si="33"/>
        <v>25.444027059561392</v>
      </c>
      <c r="G191" s="84">
        <f t="shared" si="34"/>
        <v>58.46169520687846</v>
      </c>
    </row>
    <row r="192" spans="1:7" ht="15.75">
      <c r="A192" s="88">
        <v>37622</v>
      </c>
      <c r="B192" s="87">
        <f>'Prices and Spreads'!J$6/100*'Historic Prices'!D174-('Historic Prices'!B167/100*'Prices and Spreads'!J$4*(1+'Historic Prices'!L167/100*7/12))-'Historic Prices'!N174-'Historic Prices'!P174</f>
        <v>115.48926681821004</v>
      </c>
      <c r="C192" s="87">
        <f>'Prices and Spreads'!K$6/100*'Historic Prices'!D174-('Historic Prices'!C169/100*'Prices and Spreads'!K$4*(1+'Historic Prices'!L167/100*5/12))-'Historic Prices'!O174-'Historic Prices'!Q174</f>
        <v>131.60357196454518</v>
      </c>
      <c r="E192" s="88">
        <v>37622</v>
      </c>
      <c r="F192" s="84">
        <f t="shared" si="33"/>
        <v>115.48926681821004</v>
      </c>
      <c r="G192" s="84">
        <f t="shared" si="34"/>
        <v>131.60357196454518</v>
      </c>
    </row>
    <row r="193" spans="1:7" ht="15.75">
      <c r="A193" s="88">
        <v>37653</v>
      </c>
      <c r="B193" s="87">
        <f>'Prices and Spreads'!J$6/100*'Historic Prices'!D175-('Historic Prices'!B168/100*'Prices and Spreads'!J$4*(1+'Historic Prices'!L168/100*7/12))-'Historic Prices'!N175-'Historic Prices'!P175</f>
        <v>128.23682236229408</v>
      </c>
      <c r="C193" s="87">
        <f>'Prices and Spreads'!K$6/100*'Historic Prices'!D175-('Historic Prices'!C170/100*'Prices and Spreads'!K$4*(1+'Historic Prices'!L168/100*5/12))-'Historic Prices'!O175-'Historic Prices'!Q175</f>
        <v>125.83829359367401</v>
      </c>
      <c r="E193" s="88">
        <v>37653</v>
      </c>
      <c r="F193" s="84">
        <f t="shared" si="33"/>
        <v>128.23682236229408</v>
      </c>
      <c r="G193" s="84">
        <f t="shared" si="34"/>
        <v>125.83829359367401</v>
      </c>
    </row>
    <row r="194" spans="1:7" ht="15.75">
      <c r="A194" s="88">
        <v>37681</v>
      </c>
      <c r="B194" s="87">
        <f>'Prices and Spreads'!J$6/100*'Historic Prices'!D176-('Historic Prices'!B169/100*'Prices and Spreads'!J$4*(1+'Historic Prices'!L169/100*7/12))-'Historic Prices'!N176-'Historic Prices'!P176</f>
        <v>131.43248247529723</v>
      </c>
      <c r="C194" s="87">
        <f>'Prices and Spreads'!K$6/100*'Historic Prices'!D176-('Historic Prices'!C171/100*'Prices and Spreads'!K$4*(1+'Historic Prices'!L169/100*5/12))-'Historic Prices'!O176-'Historic Prices'!Q176</f>
        <v>120.02023557952346</v>
      </c>
      <c r="E194" s="88">
        <v>37681</v>
      </c>
      <c r="F194" s="84">
        <f t="shared" si="33"/>
        <v>131.43248247529723</v>
      </c>
      <c r="G194" s="84">
        <f t="shared" si="34"/>
        <v>120.02023557952346</v>
      </c>
    </row>
    <row r="195" spans="1:7" ht="15.75">
      <c r="A195" s="88">
        <v>37712</v>
      </c>
      <c r="B195" s="87">
        <f>'Prices and Spreads'!J$6/100*'Historic Prices'!D177-('Historic Prices'!B170/100*'Prices and Spreads'!J$4*(1+'Historic Prices'!L170/100*7/12))-'Historic Prices'!N177-'Historic Prices'!P177</f>
        <v>166.75277718790974</v>
      </c>
      <c r="C195" s="87">
        <f>'Prices and Spreads'!K$6/100*'Historic Prices'!D177-('Historic Prices'!C172/100*'Prices and Spreads'!K$4*(1+'Historic Prices'!L170/100*5/12))-'Historic Prices'!O177-'Historic Prices'!Q177</f>
        <v>132.60013622221155</v>
      </c>
      <c r="E195" s="88">
        <v>37712</v>
      </c>
      <c r="F195" s="84">
        <f t="shared" si="33"/>
        <v>166.75277718790974</v>
      </c>
      <c r="G195" s="84">
        <f t="shared" si="34"/>
        <v>132.60013622221155</v>
      </c>
    </row>
    <row r="196" spans="1:7" ht="15.75">
      <c r="A196" s="88">
        <v>37742</v>
      </c>
      <c r="B196" s="87">
        <f>'Prices and Spreads'!J$6/100*'Historic Prices'!D178-('Historic Prices'!B171/100*'Prices and Spreads'!J$4*(1+'Historic Prices'!L171/100*7/12))-'Historic Prices'!N178-'Historic Prices'!P178</f>
        <v>163.91987693121314</v>
      </c>
      <c r="C196" s="87">
        <f>'Prices and Spreads'!K$6/100*'Historic Prices'!D178-('Historic Prices'!C173/100*'Prices and Spreads'!K$4*(1+'Historic Prices'!L171/100*5/12))-'Historic Prices'!O178-'Historic Prices'!Q178</f>
        <v>115.02482869331911</v>
      </c>
      <c r="E196" s="88">
        <v>37742</v>
      </c>
      <c r="F196" s="84">
        <f t="shared" si="33"/>
        <v>163.91987693121314</v>
      </c>
      <c r="G196" s="84">
        <f t="shared" si="34"/>
        <v>115.02482869331911</v>
      </c>
    </row>
    <row r="197" spans="1:7" ht="15.75">
      <c r="A197" s="88">
        <v>37773</v>
      </c>
      <c r="B197" s="87">
        <f>'Prices and Spreads'!J$6/100*'Historic Prices'!D179-('Historic Prices'!B172/100*'Prices and Spreads'!J$4*(1+'Historic Prices'!L172/100*7/12))-'Historic Prices'!N179-'Historic Prices'!P179</f>
        <v>93.27439851742935</v>
      </c>
      <c r="C197" s="87">
        <f>'Prices and Spreads'!K$6/100*'Historic Prices'!D179-('Historic Prices'!C174/100*'Prices and Spreads'!K$4*(1+'Historic Prices'!L172/100*5/12))-'Historic Prices'!O179-'Historic Prices'!Q179</f>
        <v>99.23312116500185</v>
      </c>
      <c r="E197" s="88">
        <v>37773</v>
      </c>
      <c r="F197" s="84">
        <f t="shared" si="33"/>
        <v>93.27439851742935</v>
      </c>
      <c r="G197" s="84">
        <f t="shared" si="34"/>
        <v>99.23312116500185</v>
      </c>
    </row>
    <row r="198" spans="1:7" ht="15.75">
      <c r="A198" s="88">
        <v>37803</v>
      </c>
      <c r="B198" s="87">
        <f>'Prices and Spreads'!J$6/100*'Historic Prices'!D180-('Historic Prices'!B173/100*'Prices and Spreads'!J$4*(1+'Historic Prices'!L173/100*7/12))-'Historic Prices'!N180-'Historic Prices'!P180</f>
        <v>100.56674915917094</v>
      </c>
      <c r="C198" s="87">
        <f>'Prices and Spreads'!K$6/100*'Historic Prices'!D180-('Historic Prices'!C175/100*'Prices and Spreads'!K$4*(1+'Historic Prices'!L173/100*5/12))-'Historic Prices'!O180-'Historic Prices'!Q180</f>
        <v>144.0508687955327</v>
      </c>
      <c r="E198" s="88">
        <v>37803</v>
      </c>
      <c r="F198" s="84">
        <f t="shared" si="33"/>
        <v>100.56674915917094</v>
      </c>
      <c r="G198" s="84">
        <f t="shared" si="34"/>
        <v>144.0508687955327</v>
      </c>
    </row>
    <row r="199" spans="1:7" ht="15.75">
      <c r="A199" s="88">
        <v>37834</v>
      </c>
      <c r="B199" s="87">
        <f>'Prices and Spreads'!J$6/100*'Historic Prices'!D181-('Historic Prices'!B174/100*'Prices and Spreads'!J$4*(1+'Historic Prices'!L174/100*7/12))-'Historic Prices'!N181-'Historic Prices'!P181</f>
        <v>151.12861503233063</v>
      </c>
      <c r="C199" s="87">
        <f>'Prices and Spreads'!K$6/100*'Historic Prices'!D181-('Historic Prices'!C176/100*'Prices and Spreads'!K$4*(1+'Historic Prices'!L174/100*5/12))-'Historic Prices'!O181-'Historic Prices'!Q181</f>
        <v>212.76258155801682</v>
      </c>
      <c r="E199" s="88">
        <v>37834</v>
      </c>
      <c r="F199" s="84">
        <f t="shared" si="33"/>
        <v>151.12861503233063</v>
      </c>
      <c r="G199" s="84">
        <f t="shared" si="34"/>
        <v>212.76258155801682</v>
      </c>
    </row>
    <row r="200" spans="1:7" ht="15.75">
      <c r="A200" s="88">
        <v>37865</v>
      </c>
      <c r="B200" s="87">
        <f>'Prices and Spreads'!J$6/100*'Historic Prices'!D182-('Historic Prices'!B175/100*'Prices and Spreads'!J$4*(1+'Historic Prices'!L175/100*7/12))-'Historic Prices'!N182-'Historic Prices'!P182</f>
        <v>258.95635925919294</v>
      </c>
      <c r="C200" s="87">
        <f>'Prices and Spreads'!K$6/100*'Historic Prices'!D182-('Historic Prices'!C177/100*'Prices and Spreads'!K$4*(1+'Historic Prices'!L175/100*5/12))-'Historic Prices'!O182-'Historic Prices'!Q182</f>
        <v>307.7398171496732</v>
      </c>
      <c r="E200" s="88">
        <v>37865</v>
      </c>
      <c r="F200" s="84">
        <f t="shared" si="33"/>
        <v>258.95635925919294</v>
      </c>
      <c r="G200" s="84">
        <f t="shared" si="34"/>
        <v>307.7398171496732</v>
      </c>
    </row>
    <row r="201" spans="1:7" ht="15.75">
      <c r="A201" s="88">
        <v>37895</v>
      </c>
      <c r="B201" s="87">
        <f>'Prices and Spreads'!J$6/100*'Historic Prices'!D183-('Historic Prices'!B176/100*'Prices and Spreads'!J$4*(1+'Historic Prices'!L176/100*7/12))-'Historic Prices'!N183-'Historic Prices'!P183</f>
        <v>419.62202833535696</v>
      </c>
      <c r="C201" s="87">
        <f>'Prices and Spreads'!K$6/100*'Historic Prices'!D183-('Historic Prices'!C178/100*'Prices and Spreads'!K$4*(1+'Historic Prices'!L176/100*5/12))-'Historic Prices'!O183-'Historic Prices'!Q183</f>
        <v>476.2714088503289</v>
      </c>
      <c r="E201" s="88">
        <v>37895</v>
      </c>
      <c r="F201" s="84">
        <f t="shared" si="33"/>
        <v>419.62202833535696</v>
      </c>
      <c r="G201" s="84">
        <f t="shared" si="34"/>
        <v>476.2714088503289</v>
      </c>
    </row>
    <row r="202" spans="1:7" ht="15.75">
      <c r="A202" s="88">
        <v>37926</v>
      </c>
      <c r="B202" s="87">
        <f>'Prices and Spreads'!J$6/100*'Historic Prices'!D184-('Historic Prices'!B177/100*'Prices and Spreads'!J$4*(1+'Historic Prices'!L177/100*7/12))-'Historic Prices'!N184-'Historic Prices'!P184</f>
        <v>424.3640959557482</v>
      </c>
      <c r="C202" s="87">
        <f>'Prices and Spreads'!K$6/100*'Historic Prices'!D184-('Historic Prices'!C179/100*'Prices and Spreads'!K$4*(1+'Historic Prices'!L177/100*5/12))-'Historic Prices'!O184-'Historic Prices'!Q184</f>
        <v>454.72265015725867</v>
      </c>
      <c r="E202" s="88">
        <v>37926</v>
      </c>
      <c r="F202" s="84">
        <f t="shared" si="33"/>
        <v>424.3640959557482</v>
      </c>
      <c r="G202" s="84">
        <f t="shared" si="34"/>
        <v>454.72265015725867</v>
      </c>
    </row>
    <row r="203" spans="1:7" ht="15.75">
      <c r="A203" s="88">
        <v>37956</v>
      </c>
      <c r="B203" s="87">
        <f>'Prices and Spreads'!J$6/100*'Historic Prices'!D185-('Historic Prices'!B178/100*'Prices and Spreads'!J$4*(1+'Historic Prices'!L178/100*7/12))-'Historic Prices'!N185-'Historic Prices'!P185</f>
        <v>285.72503164222394</v>
      </c>
      <c r="C203" s="87">
        <f>'Prices and Spreads'!K$6/100*'Historic Prices'!D185-('Historic Prices'!C180/100*'Prices and Spreads'!K$4*(1+'Historic Prices'!L178/100*5/12))-'Historic Prices'!O185-'Historic Prices'!Q185</f>
        <v>274.2668015565948</v>
      </c>
      <c r="E203" s="88">
        <v>37956</v>
      </c>
      <c r="F203" s="84">
        <f t="shared" si="33"/>
        <v>285.72503164222394</v>
      </c>
      <c r="G203" s="84">
        <f t="shared" si="34"/>
        <v>274.2668015565948</v>
      </c>
    </row>
    <row r="204" spans="1:7" ht="15.75">
      <c r="A204" s="88">
        <v>37987</v>
      </c>
      <c r="B204" s="87">
        <f>'Prices and Spreads'!J$6/100*'Historic Prices'!D186-('Historic Prices'!B179/100*'Prices and Spreads'!J$4*(1+'Historic Prices'!L179/100*7/12))-'Historic Prices'!N186-'Historic Prices'!P186</f>
        <v>129.68240021035712</v>
      </c>
      <c r="C204" s="87">
        <f>'Prices and Spreads'!K$6/100*'Historic Prices'!D186-('Historic Prices'!C181/100*'Prices and Spreads'!K$4*(1+'Historic Prices'!L179/100*5/12))-'Historic Prices'!O186-'Historic Prices'!Q186</f>
        <v>81.37875252052494</v>
      </c>
      <c r="E204" s="88">
        <v>37987</v>
      </c>
      <c r="F204" s="84">
        <f t="shared" si="33"/>
        <v>129.68240021035712</v>
      </c>
      <c r="G204" s="84">
        <f t="shared" si="34"/>
        <v>81.37875252052494</v>
      </c>
    </row>
    <row r="205" spans="1:7" ht="15.75">
      <c r="A205" s="88">
        <v>38018</v>
      </c>
      <c r="B205" s="87">
        <f>'Prices and Spreads'!J$6/100*'Historic Prices'!D187-('Historic Prices'!B180/100*'Prices and Spreads'!J$4*(1+'Historic Prices'!L180/100*7/12))-'Historic Prices'!N187-'Historic Prices'!P187</f>
        <v>85.16460747725597</v>
      </c>
      <c r="C205" s="87">
        <f>'Prices and Spreads'!K$6/100*'Historic Prices'!D187-('Historic Prices'!C182/100*'Prices and Spreads'!K$4*(1+'Historic Prices'!L180/100*5/12))-'Historic Prices'!O187-'Historic Prices'!Q187</f>
        <v>-7.262042609294852</v>
      </c>
      <c r="E205" s="88">
        <v>38018</v>
      </c>
      <c r="F205" s="84">
        <f t="shared" si="33"/>
        <v>85.16460747725597</v>
      </c>
      <c r="G205" s="84">
        <f t="shared" si="34"/>
        <v>-7.262042609294852</v>
      </c>
    </row>
    <row r="206" spans="1:7" ht="15.75">
      <c r="A206" s="88">
        <v>38047</v>
      </c>
      <c r="B206" s="87">
        <f>'Prices and Spreads'!J$6/100*'Historic Prices'!D188-('Historic Prices'!B181/100*'Prices and Spreads'!J$4*(1+'Historic Prices'!L181/100*7/12))-'Historic Prices'!N188-'Historic Prices'!P188</f>
        <v>164.961474207097</v>
      </c>
      <c r="C206" s="87">
        <f>'Prices and Spreads'!K$6/100*'Historic Prices'!D188-('Historic Prices'!C183/100*'Prices and Spreads'!K$4*(1+'Historic Prices'!L181/100*5/12))-'Historic Prices'!O188-'Historic Prices'!Q188</f>
        <v>48.88240228731517</v>
      </c>
      <c r="E206" s="88">
        <v>38047</v>
      </c>
      <c r="F206" s="84">
        <f t="shared" si="33"/>
        <v>164.961474207097</v>
      </c>
      <c r="G206" s="84">
        <f t="shared" si="34"/>
        <v>48.88240228731517</v>
      </c>
    </row>
    <row r="207" spans="1:7" ht="15.75">
      <c r="A207" s="88">
        <v>38078</v>
      </c>
      <c r="B207" s="87">
        <f>'Prices and Spreads'!J$6/100*'Historic Prices'!D189-('Historic Prices'!B182/100*'Prices and Spreads'!J$4*(1+'Historic Prices'!L182/100*7/12))-'Historic Prices'!N189-'Historic Prices'!P189</f>
        <v>163.16808847706852</v>
      </c>
      <c r="C207" s="87">
        <f>'Prices and Spreads'!K$6/100*'Historic Prices'!D189-('Historic Prices'!C184/100*'Prices and Spreads'!K$4*(1+'Historic Prices'!L182/100*5/12))-'Historic Prices'!O189-'Historic Prices'!Q189</f>
        <v>62.04026486447208</v>
      </c>
      <c r="E207" s="88">
        <v>38078</v>
      </c>
      <c r="F207" s="84">
        <f t="shared" si="33"/>
        <v>163.16808847706852</v>
      </c>
      <c r="G207" s="84">
        <f t="shared" si="34"/>
        <v>62.04026486447208</v>
      </c>
    </row>
    <row r="208" spans="1:7" ht="15.75">
      <c r="A208" s="88">
        <v>38108</v>
      </c>
      <c r="B208" s="87">
        <f>'Prices and Spreads'!J$6/100*'Historic Prices'!D190-('Historic Prices'!B183/100*'Prices and Spreads'!J$4*(1+'Historic Prices'!L183/100*7/12))-'Historic Prices'!N190-'Historic Prices'!P190</f>
        <v>152.9572626441535</v>
      </c>
      <c r="C208" s="87">
        <f>'Prices and Spreads'!K$6/100*'Historic Prices'!D190-('Historic Prices'!C185/100*'Prices and Spreads'!K$4*(1+'Historic Prices'!L183/100*5/12))-'Historic Prices'!O190-'Historic Prices'!Q190</f>
        <v>90.251093838121</v>
      </c>
      <c r="E208" s="88">
        <v>38108</v>
      </c>
      <c r="F208" s="84">
        <f t="shared" si="33"/>
        <v>152.9572626441535</v>
      </c>
      <c r="G208" s="84">
        <f t="shared" si="34"/>
        <v>90.251093838121</v>
      </c>
    </row>
    <row r="209" spans="1:7" ht="15.75">
      <c r="A209" s="88">
        <v>38139</v>
      </c>
      <c r="B209" s="87">
        <f>'Prices and Spreads'!J$6/100*'Historic Prices'!D191-('Historic Prices'!B184/100*'Prices and Spreads'!J$4*(1+'Historic Prices'!L184/100*7/12))-'Historic Prices'!N191-'Historic Prices'!P191</f>
        <v>148.69776491788446</v>
      </c>
      <c r="C209" s="87">
        <f>'Prices and Spreads'!K$6/100*'Historic Prices'!D191-('Historic Prices'!C186/100*'Prices and Spreads'!K$4*(1+'Historic Prices'!L184/100*5/12))-'Historic Prices'!O191-'Historic Prices'!Q191</f>
        <v>230.03091804091036</v>
      </c>
      <c r="E209" s="88">
        <v>38139</v>
      </c>
      <c r="F209" s="84">
        <f t="shared" si="33"/>
        <v>148.69776491788446</v>
      </c>
      <c r="G209" s="84">
        <f t="shared" si="34"/>
        <v>230.03091804091036</v>
      </c>
    </row>
    <row r="210" spans="1:7" ht="15.75">
      <c r="A210" s="88">
        <v>38169</v>
      </c>
      <c r="B210" s="87">
        <f>'Prices and Spreads'!J$6/100*'Historic Prices'!D192-('Historic Prices'!B185/100*'Prices and Spreads'!J$4*(1+'Historic Prices'!L185/100*7/12))-'Historic Prices'!N192-'Historic Prices'!P192</f>
        <v>85.44189738842687</v>
      </c>
      <c r="C210" s="87">
        <f>'Prices and Spreads'!K$6/100*'Historic Prices'!D192-('Historic Prices'!C187/100*'Prices and Spreads'!K$4*(1+'Historic Prices'!L185/100*5/12))-'Historic Prices'!O192-'Historic Prices'!Q192</f>
        <v>158.45457281797255</v>
      </c>
      <c r="E210" s="88">
        <v>38169</v>
      </c>
      <c r="F210" s="84">
        <f t="shared" si="33"/>
        <v>85.44189738842687</v>
      </c>
      <c r="G210" s="84">
        <f t="shared" si="34"/>
        <v>158.45457281797255</v>
      </c>
    </row>
    <row r="211" spans="1:7" ht="15.75">
      <c r="A211" s="88">
        <v>38200</v>
      </c>
      <c r="B211" s="87">
        <f>'Prices and Spreads'!J$6/100*'Historic Prices'!D193-('Historic Prices'!B186/100*'Prices and Spreads'!J$4*(1+'Historic Prices'!L186/100*7/12))-'Historic Prices'!N193-'Historic Prices'!P193</f>
        <v>110.60926842241227</v>
      </c>
      <c r="C211" s="87">
        <f>'Prices and Spreads'!K$6/100*'Historic Prices'!D193-('Historic Prices'!C188/100*'Prices and Spreads'!K$4*(1+'Historic Prices'!L186/100*5/12))-'Historic Prices'!O193-'Historic Prices'!Q193</f>
        <v>125.13579705888607</v>
      </c>
      <c r="E211" s="88">
        <v>38200</v>
      </c>
      <c r="F211" s="84">
        <f t="shared" si="33"/>
        <v>110.60926842241227</v>
      </c>
      <c r="G211" s="84">
        <f t="shared" si="34"/>
        <v>125.13579705888607</v>
      </c>
    </row>
    <row r="212" spans="1:7" ht="15.75">
      <c r="A212" s="88">
        <v>38231</v>
      </c>
      <c r="B212" s="87">
        <f>'Prices and Spreads'!J$6/100*'Historic Prices'!D194-('Historic Prices'!B187/100*'Prices and Spreads'!J$4*(1+'Historic Prices'!L187/100*7/12))-'Historic Prices'!N194-'Historic Prices'!P194</f>
        <v>66.96026159480559</v>
      </c>
      <c r="C212" s="87">
        <f>'Prices and Spreads'!K$6/100*'Historic Prices'!D194-('Historic Prices'!C189/100*'Prices and Spreads'!K$4*(1+'Historic Prices'!L187/100*5/12))-'Historic Prices'!O194-'Historic Prices'!Q194</f>
        <v>58.71520462130714</v>
      </c>
      <c r="E212" s="88">
        <v>38231</v>
      </c>
      <c r="F212" s="84">
        <f t="shared" si="33"/>
        <v>66.96026159480559</v>
      </c>
      <c r="G212" s="84">
        <f t="shared" si="34"/>
        <v>58.71520462130714</v>
      </c>
    </row>
    <row r="213" spans="1:7" ht="15.75">
      <c r="A213" s="88">
        <v>38261</v>
      </c>
      <c r="B213" s="87">
        <f>'Prices and Spreads'!J$6/100*'Historic Prices'!D195-('Historic Prices'!B188/100*'Prices and Spreads'!J$4*(1+'Historic Prices'!L188/100*7/12))-'Historic Prices'!N195-'Historic Prices'!P195</f>
        <v>50.75663300490862</v>
      </c>
      <c r="C213" s="87">
        <f>'Prices and Spreads'!K$6/100*'Historic Prices'!D195-('Historic Prices'!C190/100*'Prices and Spreads'!K$4*(1+'Historic Prices'!L188/100*5/12))-'Historic Prices'!O195-'Historic Prices'!Q195</f>
        <v>19.40974560455608</v>
      </c>
      <c r="E213" s="88">
        <v>38261</v>
      </c>
      <c r="F213" s="84">
        <f t="shared" si="33"/>
        <v>50.75663300490862</v>
      </c>
      <c r="G213" s="84">
        <f t="shared" si="34"/>
        <v>19.40974560455608</v>
      </c>
    </row>
    <row r="214" spans="1:7" ht="15.75">
      <c r="A214" s="88">
        <v>38292</v>
      </c>
      <c r="B214" s="87">
        <f>'Prices and Spreads'!J$6/100*'Historic Prices'!D196-('Historic Prices'!B189/100*'Prices and Spreads'!J$4*(1+'Historic Prices'!L189/100*7/12))-'Historic Prices'!N196-'Historic Prices'!P196</f>
        <v>40.064843395970996</v>
      </c>
      <c r="C214" s="87">
        <f>'Prices and Spreads'!K$6/100*'Historic Prices'!D196-('Historic Prices'!C191/100*'Prices and Spreads'!K$4*(1+'Historic Prices'!L189/100*5/12))-'Historic Prices'!O196-'Historic Prices'!Q196</f>
        <v>-34.46727354272579</v>
      </c>
      <c r="E214" s="88">
        <v>38292</v>
      </c>
      <c r="F214" s="84">
        <f t="shared" si="33"/>
        <v>40.064843395970996</v>
      </c>
      <c r="G214" s="84">
        <f t="shared" si="34"/>
        <v>-34.46727354272579</v>
      </c>
    </row>
    <row r="215" spans="1:7" ht="15.75">
      <c r="A215" s="88">
        <v>38322</v>
      </c>
      <c r="B215" s="87">
        <f>'Prices and Spreads'!J$6/100*'Historic Prices'!D197-('Historic Prices'!B190/100*'Prices and Spreads'!J$4*(1+'Historic Prices'!L190/100*7/12))-'Historic Prices'!N197-'Historic Prices'!P197</f>
        <v>53.35103727106474</v>
      </c>
      <c r="C215" s="87">
        <f>'Prices and Spreads'!K$6/100*'Historic Prices'!D197-('Historic Prices'!C192/100*'Prices and Spreads'!K$4*(1+'Historic Prices'!L190/100*5/12))-'Historic Prices'!O197-'Historic Prices'!Q197</f>
        <v>-16.709751011515067</v>
      </c>
      <c r="E215" s="88">
        <v>38322</v>
      </c>
      <c r="F215" s="84">
        <f t="shared" si="33"/>
        <v>53.35103727106474</v>
      </c>
      <c r="G215" s="84">
        <f t="shared" si="34"/>
        <v>-16.709751011515067</v>
      </c>
    </row>
    <row r="216" spans="1:7" ht="15.75">
      <c r="A216" s="88">
        <v>38353</v>
      </c>
      <c r="B216" s="87">
        <f>'Prices and Spreads'!J$6/100*'Historic Prices'!D198-('Historic Prices'!B191/100*'Prices and Spreads'!J$4*(1+'Historic Prices'!L191/100*7/12))-'Historic Prices'!N198-'Historic Prices'!P198</f>
        <v>85.53769060910054</v>
      </c>
      <c r="C216" s="87">
        <f>'Prices and Spreads'!K$6/100*'Historic Prices'!D198-('Historic Prices'!C193/100*'Prices and Spreads'!K$4*(1+'Historic Prices'!L191/100*5/12))-'Historic Prices'!O198-'Historic Prices'!Q198</f>
        <v>13.186249974578331</v>
      </c>
      <c r="E216" s="88">
        <v>38353</v>
      </c>
      <c r="F216" s="84">
        <f t="shared" si="33"/>
        <v>85.53769060910054</v>
      </c>
      <c r="G216" s="84">
        <f t="shared" si="34"/>
        <v>13.186249974578331</v>
      </c>
    </row>
    <row r="217" spans="1:7" ht="15.75">
      <c r="A217" s="88">
        <v>38384</v>
      </c>
      <c r="B217" s="87">
        <f>'Prices and Spreads'!J$6/100*'Historic Prices'!D199-('Historic Prices'!B192/100*'Prices and Spreads'!J$4*(1+'Historic Prices'!L192/100*7/12))-'Historic Prices'!N199-'Historic Prices'!P199</f>
        <v>44.08246216263902</v>
      </c>
      <c r="C217" s="87">
        <f>'Prices and Spreads'!K$6/100*'Historic Prices'!D199-('Historic Prices'!C194/100*'Prices and Spreads'!K$4*(1+'Historic Prices'!L192/100*5/12))-'Historic Prices'!O199-'Historic Prices'!Q199</f>
        <v>33.97818747457846</v>
      </c>
      <c r="E217" s="88">
        <v>38384</v>
      </c>
      <c r="F217" s="84">
        <f t="shared" si="33"/>
        <v>44.08246216263902</v>
      </c>
      <c r="G217" s="84">
        <f t="shared" si="34"/>
        <v>33.97818747457846</v>
      </c>
    </row>
    <row r="218" spans="1:7" ht="15.75">
      <c r="A218" s="88">
        <v>38412</v>
      </c>
      <c r="B218" s="87">
        <f>'Prices and Spreads'!J$6/100*'Historic Prices'!D200-('Historic Prices'!B193/100*'Prices and Spreads'!J$4*(1+'Historic Prices'!L193/100*7/12))-'Historic Prices'!N200-'Historic Prices'!P200</f>
        <v>88.97657153251811</v>
      </c>
      <c r="C218" s="87">
        <f>'Prices and Spreads'!K$6/100*'Historic Prices'!D200-('Historic Prices'!C195/100*'Prices and Spreads'!K$4*(1+'Historic Prices'!L193/100*5/12))-'Historic Prices'!O200-'Historic Prices'!Q200</f>
        <v>108.2021177384847</v>
      </c>
      <c r="E218" s="88">
        <v>38412</v>
      </c>
      <c r="F218" s="84">
        <f t="shared" si="33"/>
        <v>88.97657153251811</v>
      </c>
      <c r="G218" s="84">
        <f t="shared" si="34"/>
        <v>108.2021177384847</v>
      </c>
    </row>
    <row r="219" spans="1:7" ht="15.75">
      <c r="A219" s="88">
        <v>38443</v>
      </c>
      <c r="B219" s="87">
        <f>'Prices and Spreads'!J$6/100*'Historic Prices'!D201-('Historic Prices'!B194/100*'Prices and Spreads'!J$4*(1+'Historic Prices'!L194/100*7/12))-'Historic Prices'!N201-'Historic Prices'!P201</f>
        <v>146.755391738291</v>
      </c>
      <c r="C219" s="87">
        <f>'Prices and Spreads'!K$6/100*'Historic Prices'!D201-('Historic Prices'!C196/100*'Prices and Spreads'!K$4*(1+'Historic Prices'!L194/100*5/12))-'Historic Prices'!O201-'Historic Prices'!Q201</f>
        <v>153.45493023848462</v>
      </c>
      <c r="E219" s="88">
        <v>38443</v>
      </c>
      <c r="F219" s="84">
        <f t="shared" si="33"/>
        <v>146.755391738291</v>
      </c>
      <c r="G219" s="84">
        <f t="shared" si="34"/>
        <v>153.45493023848462</v>
      </c>
    </row>
    <row r="220" spans="1:7" ht="15.75">
      <c r="A220" s="88">
        <v>38473</v>
      </c>
      <c r="B220" s="87">
        <f>'Prices and Spreads'!J$6/100*'Historic Prices'!D202-('Historic Prices'!B195/100*'Prices and Spreads'!J$4*(1+'Historic Prices'!L195/100*7/12))-'Historic Prices'!N202-'Historic Prices'!P202</f>
        <v>117.91729726040444</v>
      </c>
      <c r="C220" s="87">
        <f>'Prices and Spreads'!K$6/100*'Historic Prices'!D202-('Historic Prices'!C197/100*'Prices and Spreads'!K$4*(1+'Historic Prices'!L195/100*5/12))-'Historic Prices'!O202-'Historic Prices'!Q202</f>
        <v>124.2541526065316</v>
      </c>
      <c r="E220" s="88">
        <v>38473</v>
      </c>
      <c r="F220" s="84">
        <f t="shared" si="33"/>
        <v>117.91729726040444</v>
      </c>
      <c r="G220" s="84">
        <f t="shared" si="34"/>
        <v>124.2541526065316</v>
      </c>
    </row>
    <row r="221" spans="1:7" ht="15.75">
      <c r="A221" s="88">
        <v>38504</v>
      </c>
      <c r="B221" s="87">
        <f>'Prices and Spreads'!J$6/100*'Historic Prices'!D203-('Historic Prices'!B196/100*'Prices and Spreads'!J$4*(1+'Historic Prices'!L196/100*7/12))-'Historic Prices'!N203-'Historic Prices'!P203</f>
        <v>45.438747260404654</v>
      </c>
      <c r="C221" s="87">
        <f>'Prices and Spreads'!K$6/100*'Historic Prices'!D203-('Historic Prices'!C198/100*'Prices and Spreads'!K$4*(1+'Historic Prices'!L196/100*5/12))-'Historic Prices'!O203-'Historic Prices'!Q203</f>
        <v>50.51001510723722</v>
      </c>
      <c r="E221" s="88">
        <v>38504</v>
      </c>
      <c r="F221" s="84">
        <f t="shared" si="33"/>
        <v>45.438747260404654</v>
      </c>
      <c r="G221" s="84">
        <f t="shared" si="34"/>
        <v>50.51001510723722</v>
      </c>
    </row>
    <row r="222" spans="1:7" ht="15.75">
      <c r="A222" s="88">
        <v>38534</v>
      </c>
      <c r="B222" s="87">
        <f>'Prices and Spreads'!J$6/100*'Historic Prices'!D204-('Historic Prices'!B197/100*'Prices and Spreads'!J$4*(1+'Historic Prices'!L197/100*7/12))-'Historic Prices'!N204-'Historic Prices'!P204</f>
        <v>-6.462541695368344</v>
      </c>
      <c r="C222" s="87">
        <f>'Prices and Spreads'!K$6/100*'Historic Prices'!D204-('Historic Prices'!C199/100*'Prices and Spreads'!K$4*(1+'Historic Prices'!L197/100*5/12))-'Historic Prices'!O204-'Historic Prices'!Q204</f>
        <v>14.153921357237124</v>
      </c>
      <c r="E222" s="88">
        <v>38534</v>
      </c>
      <c r="F222" s="84">
        <f t="shared" si="33"/>
        <v>-6.462541695368344</v>
      </c>
      <c r="G222" s="84">
        <f t="shared" si="34"/>
        <v>14.153921357237124</v>
      </c>
    </row>
    <row r="223" spans="1:7" ht="15.75">
      <c r="A223" s="88">
        <v>38565</v>
      </c>
      <c r="B223" s="87">
        <f>'Prices and Spreads'!J$6/100*'Historic Prices'!D205-('Historic Prices'!B198/100*'Prices and Spreads'!J$4*(1+'Historic Prices'!L198/100*7/12))-'Historic Prices'!N205-'Historic Prices'!P205</f>
        <v>20.559130230808734</v>
      </c>
      <c r="C223" s="87">
        <f>'Prices and Spreads'!K$6/100*'Historic Prices'!D205-('Historic Prices'!C200/100*'Prices and Spreads'!K$4*(1+'Historic Prices'!L198/100*5/12))-'Historic Prices'!O205-'Historic Prices'!Q205</f>
        <v>-6.605068321984376</v>
      </c>
      <c r="E223" s="88">
        <v>38565</v>
      </c>
      <c r="F223" s="84">
        <f t="shared" si="33"/>
        <v>20.559130230808734</v>
      </c>
      <c r="G223" s="84">
        <f t="shared" si="34"/>
        <v>-6.605068321984376</v>
      </c>
    </row>
    <row r="224" spans="1:7" ht="15.75">
      <c r="A224" s="88">
        <v>38596</v>
      </c>
      <c r="B224" s="87">
        <f>'Prices and Spreads'!J$6/100*'Historic Prices'!D206-('Historic Prices'!B199/100*'Prices and Spreads'!J$4*(1+'Historic Prices'!L199/100*7/12))-'Historic Prices'!N206-'Historic Prices'!P206</f>
        <v>42.401743351107314</v>
      </c>
      <c r="C224" s="87">
        <f>'Prices and Spreads'!K$6/100*'Historic Prices'!D206-('Historic Prices'!C201/100*'Prices and Spreads'!K$4*(1+'Historic Prices'!L199/100*5/12))-'Historic Prices'!O206-'Historic Prices'!Q206</f>
        <v>0.6797817706280256</v>
      </c>
      <c r="E224" s="88">
        <v>38596</v>
      </c>
      <c r="F224" s="84">
        <f t="shared" si="33"/>
        <v>42.401743351107314</v>
      </c>
      <c r="G224" s="84">
        <f t="shared" si="34"/>
        <v>0.6797817706280256</v>
      </c>
    </row>
    <row r="225" spans="1:7" ht="15.75">
      <c r="A225" s="88">
        <v>38626</v>
      </c>
      <c r="B225" s="87">
        <f>'Prices and Spreads'!J$6/100*'Historic Prices'!D207-('Historic Prices'!B200/100*'Prices and Spreads'!J$4*(1+'Historic Prices'!L200/100*7/12))-'Historic Prices'!N207-'Historic Prices'!P207</f>
        <v>38.569797584084114</v>
      </c>
      <c r="C225" s="87">
        <f>'Prices and Spreads'!K$6/100*'Historic Prices'!D207-('Historic Prices'!C202/100*'Prices and Spreads'!K$4*(1+'Historic Prices'!L200/100*5/12))-'Historic Prices'!O207-'Historic Prices'!Q207</f>
        <v>33.51787154246216</v>
      </c>
      <c r="E225" s="88">
        <v>38626</v>
      </c>
      <c r="F225" s="84">
        <f t="shared" si="33"/>
        <v>38.569797584084114</v>
      </c>
      <c r="G225" s="84">
        <f t="shared" si="34"/>
        <v>33.51787154246216</v>
      </c>
    </row>
    <row r="226" spans="1:7" ht="15.75">
      <c r="A226" s="88">
        <v>38657</v>
      </c>
      <c r="B226" s="87">
        <f>'Prices and Spreads'!J$6/100*'Historic Prices'!D208-('Historic Prices'!B201/100*'Prices and Spreads'!J$4*(1+'Historic Prices'!L201/100*7/12))-'Historic Prices'!N208-'Historic Prices'!P208</f>
        <v>65.08059305821979</v>
      </c>
      <c r="C226" s="87">
        <f>'Prices and Spreads'!K$6/100*'Historic Prices'!D208-('Historic Prices'!C203/100*'Prices and Spreads'!K$4*(1+'Historic Prices'!L201/100*5/12))-'Historic Prices'!O208-'Historic Prices'!Q208</f>
        <v>58.82288027197433</v>
      </c>
      <c r="E226" s="88">
        <v>38657</v>
      </c>
      <c r="F226" s="84">
        <f t="shared" si="33"/>
        <v>65.08059305821979</v>
      </c>
      <c r="G226" s="84">
        <f t="shared" si="34"/>
        <v>58.82288027197433</v>
      </c>
    </row>
    <row r="227" spans="1:7" ht="15.75">
      <c r="A227" s="88">
        <v>38687</v>
      </c>
      <c r="B227" s="87">
        <f>'Prices and Spreads'!J$6/100*'Historic Prices'!D209-('Historic Prices'!B202/100*'Prices and Spreads'!J$4*(1+'Historic Prices'!L202/100*7/12))-'Historic Prices'!N209-'Historic Prices'!P209</f>
        <v>105.64740944996223</v>
      </c>
      <c r="C227" s="87">
        <f>'Prices and Spreads'!K$6/100*'Historic Prices'!D209-('Historic Prices'!C204/100*'Prices and Spreads'!K$4*(1+'Historic Prices'!L202/100*5/12))-'Historic Prices'!O209-'Historic Prices'!Q209</f>
        <v>144.1675735841647</v>
      </c>
      <c r="E227" s="88">
        <v>38687</v>
      </c>
      <c r="F227" s="84">
        <f t="shared" si="33"/>
        <v>105.64740944996223</v>
      </c>
      <c r="G227" s="84">
        <f t="shared" si="34"/>
        <v>144.1675735841647</v>
      </c>
    </row>
    <row r="237" ht="15.75">
      <c r="D237">
        <v>-100</v>
      </c>
    </row>
    <row r="238" ht="15.75">
      <c r="D238">
        <f>25+D237</f>
        <v>-75</v>
      </c>
    </row>
    <row r="239" ht="15.75">
      <c r="D239">
        <f aca="true" t="shared" si="35" ref="D239:D248">25+D238</f>
        <v>-50</v>
      </c>
    </row>
    <row r="240" ht="15.75">
      <c r="D240">
        <f t="shared" si="35"/>
        <v>-25</v>
      </c>
    </row>
    <row r="241" ht="15.75">
      <c r="D241">
        <f t="shared" si="35"/>
        <v>0</v>
      </c>
    </row>
    <row r="242" ht="15.75">
      <c r="D242">
        <f t="shared" si="35"/>
        <v>25</v>
      </c>
    </row>
    <row r="243" ht="15.75">
      <c r="D243">
        <f t="shared" si="35"/>
        <v>50</v>
      </c>
    </row>
    <row r="244" ht="15.75">
      <c r="D244">
        <f t="shared" si="35"/>
        <v>75</v>
      </c>
    </row>
    <row r="245" ht="15.75">
      <c r="D245">
        <f t="shared" si="35"/>
        <v>100</v>
      </c>
    </row>
    <row r="246" ht="15.75">
      <c r="D246">
        <f t="shared" si="35"/>
        <v>125</v>
      </c>
    </row>
    <row r="247" ht="15.75">
      <c r="D247">
        <f t="shared" si="35"/>
        <v>150</v>
      </c>
    </row>
    <row r="248" ht="15.75">
      <c r="D248">
        <f t="shared" si="35"/>
        <v>175</v>
      </c>
    </row>
  </sheetData>
  <mergeCells count="2">
    <mergeCell ref="E30:G30"/>
    <mergeCell ref="B34:C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10" sqref="C10"/>
    </sheetView>
  </sheetViews>
  <sheetFormatPr defaultColWidth="8.796875" defaultRowHeight="15"/>
  <cols>
    <col min="1" max="1" width="21.3984375" style="48" customWidth="1"/>
    <col min="2" max="2" width="7.19921875" style="48" customWidth="1"/>
    <col min="3" max="5" width="10.19921875" style="48" customWidth="1"/>
    <col min="6" max="7" width="9.796875" style="48" bestFit="1" customWidth="1"/>
    <col min="8" max="8" width="9.296875" style="48" bestFit="1" customWidth="1"/>
    <col min="9" max="16384" width="8.8984375" style="48" customWidth="1"/>
  </cols>
  <sheetData>
    <row r="1" spans="1:5" ht="15.75">
      <c r="A1" s="49" t="s">
        <v>179</v>
      </c>
      <c r="E1" s="49"/>
    </row>
    <row r="2" spans="1:5" ht="15.75">
      <c r="A2" s="51" t="s">
        <v>157</v>
      </c>
      <c r="E2" s="50"/>
    </row>
    <row r="3" ht="15.75">
      <c r="A3" s="51"/>
    </row>
    <row r="4" spans="3:8" ht="15.75">
      <c r="C4" s="64" t="s">
        <v>78</v>
      </c>
      <c r="D4" s="64" t="s">
        <v>78</v>
      </c>
      <c r="E4" s="64" t="s">
        <v>78</v>
      </c>
      <c r="F4" s="64" t="s">
        <v>79</v>
      </c>
      <c r="G4" s="64" t="s">
        <v>79</v>
      </c>
      <c r="H4" s="64" t="s">
        <v>79</v>
      </c>
    </row>
    <row r="5" spans="1:8" ht="15.75">
      <c r="A5" s="51" t="s">
        <v>158</v>
      </c>
      <c r="C5" s="52">
        <f>'Diets and Performance'!C5</f>
        <v>550</v>
      </c>
      <c r="D5" s="52">
        <f>'Diets and Performance'!F5</f>
        <v>650</v>
      </c>
      <c r="E5" s="52">
        <f>'Diets and Performance'!D5</f>
        <v>750</v>
      </c>
      <c r="F5" s="52">
        <f>'Diets and Performance'!G5</f>
        <v>550</v>
      </c>
      <c r="G5" s="52">
        <f>'Diets and Performance'!H5</f>
        <v>650</v>
      </c>
      <c r="H5" s="52">
        <f>'Diets and Performance'!I5</f>
        <v>750</v>
      </c>
    </row>
    <row r="6" spans="1:8" ht="15.75">
      <c r="A6" s="51" t="s">
        <v>159</v>
      </c>
      <c r="C6" s="52">
        <f>'Diets and Performance'!C6</f>
        <v>1250</v>
      </c>
      <c r="D6" s="52">
        <f>'Diets and Performance'!F6</f>
        <v>1300</v>
      </c>
      <c r="E6" s="52">
        <f>'Diets and Performance'!D6</f>
        <v>1350</v>
      </c>
      <c r="F6" s="52">
        <f>'Diets and Performance'!G6</f>
        <v>1150</v>
      </c>
      <c r="G6" s="52">
        <f>'Diets and Performance'!H6</f>
        <v>1200</v>
      </c>
      <c r="H6" s="52">
        <f>'Diets and Performance'!I6</f>
        <v>1250</v>
      </c>
    </row>
    <row r="7" spans="1:8" ht="15.75">
      <c r="A7" s="51" t="s">
        <v>160</v>
      </c>
      <c r="C7" s="99">
        <f>'Diets and Performance'!C9</f>
        <v>215.3846153846154</v>
      </c>
      <c r="D7" s="99">
        <f>'Diets and Performance'!F9</f>
        <v>189.78102189781023</v>
      </c>
      <c r="E7" s="99">
        <f>'Diets and Performance'!D9</f>
        <v>166.66666666666666</v>
      </c>
      <c r="F7" s="99">
        <f>'Diets and Performance'!G9</f>
        <v>205.1282051282051</v>
      </c>
      <c r="G7" s="99">
        <f>'Diets and Performance'!H9</f>
        <v>178.426601784266</v>
      </c>
      <c r="H7" s="99">
        <f>'Diets and Performance'!I9</f>
        <v>154.320987654321</v>
      </c>
    </row>
    <row r="8" spans="1:8" ht="15.75">
      <c r="A8" s="51"/>
      <c r="C8" s="53"/>
      <c r="D8" s="53"/>
      <c r="E8" s="53"/>
      <c r="F8" s="53"/>
      <c r="G8" s="53"/>
      <c r="H8" s="53"/>
    </row>
    <row r="9" ht="15.75">
      <c r="A9" s="49" t="s">
        <v>161</v>
      </c>
    </row>
    <row r="10" spans="1:8" ht="15.75">
      <c r="A10" s="51" t="s">
        <v>188</v>
      </c>
      <c r="B10" s="54"/>
      <c r="C10" s="65">
        <v>85.44</v>
      </c>
      <c r="D10" s="65">
        <v>80.28</v>
      </c>
      <c r="E10" s="65">
        <v>75.28</v>
      </c>
      <c r="F10" s="65">
        <v>77.25</v>
      </c>
      <c r="G10" s="65">
        <v>73.25</v>
      </c>
      <c r="H10" s="65">
        <v>69.25</v>
      </c>
    </row>
    <row r="11" spans="1:8" s="72" customFormat="1" ht="15.75">
      <c r="A11" s="70" t="s">
        <v>162</v>
      </c>
      <c r="B11" s="71"/>
      <c r="C11" s="71">
        <f aca="true" t="shared" si="0" ref="C11:H11">C10*C5/100</f>
        <v>469.92</v>
      </c>
      <c r="D11" s="71">
        <f t="shared" si="0"/>
        <v>521.82</v>
      </c>
      <c r="E11" s="71">
        <f t="shared" si="0"/>
        <v>564.6</v>
      </c>
      <c r="F11" s="71">
        <f t="shared" si="0"/>
        <v>424.875</v>
      </c>
      <c r="G11" s="71">
        <f t="shared" si="0"/>
        <v>476.125</v>
      </c>
      <c r="H11" s="71">
        <f t="shared" si="0"/>
        <v>519.375</v>
      </c>
    </row>
    <row r="12" ht="15.75">
      <c r="A12" s="49" t="s">
        <v>163</v>
      </c>
    </row>
    <row r="13" spans="1:8" ht="15.75">
      <c r="A13" s="51" t="s">
        <v>164</v>
      </c>
      <c r="B13" s="65">
        <f>'Prices and Spreads'!G5</f>
        <v>3.25</v>
      </c>
      <c r="C13" s="67">
        <f>'Diets and Performance'!C21</f>
        <v>38.76610085227272</v>
      </c>
      <c r="D13" s="67">
        <f>'Diets and Performance'!F21</f>
        <v>36.91227399553572</v>
      </c>
      <c r="E13" s="67">
        <f>'Diets and Performance'!D21</f>
        <v>34.917650162337665</v>
      </c>
      <c r="F13" s="67">
        <f>'Diets and Performance'!G21</f>
        <v>36.55089508928572</v>
      </c>
      <c r="G13" s="67">
        <f>'Diets and Performance'!H21</f>
        <v>34.356808872767864</v>
      </c>
      <c r="H13" s="67">
        <f>'Diets and Performance'!I21</f>
        <v>32.00784598214286</v>
      </c>
    </row>
    <row r="14" spans="1:8" ht="15.75">
      <c r="A14" s="51" t="s">
        <v>165</v>
      </c>
      <c r="B14" s="54"/>
      <c r="C14" s="54">
        <f aca="true" t="shared" si="1" ref="C14:H14">$B13*C13</f>
        <v>125.98982776988635</v>
      </c>
      <c r="D14" s="54">
        <f t="shared" si="1"/>
        <v>119.9648904854911</v>
      </c>
      <c r="E14" s="54">
        <f t="shared" si="1"/>
        <v>113.48236302759742</v>
      </c>
      <c r="F14" s="54">
        <f t="shared" si="1"/>
        <v>118.79040904017859</v>
      </c>
      <c r="G14" s="54">
        <f t="shared" si="1"/>
        <v>111.65962883649556</v>
      </c>
      <c r="H14" s="54">
        <f t="shared" si="1"/>
        <v>104.0254994419643</v>
      </c>
    </row>
    <row r="15" spans="1:8" ht="15.75">
      <c r="A15" s="51" t="s">
        <v>182</v>
      </c>
      <c r="B15" s="65">
        <f>'Prices and Spreads'!G6</f>
        <v>41.78571428571429</v>
      </c>
      <c r="C15" s="66">
        <f>'Diets and Performance'!C22</f>
        <v>2.065</v>
      </c>
      <c r="D15" s="66">
        <f>'Diets and Performance'!F22</f>
        <v>1.9662500000000003</v>
      </c>
      <c r="E15" s="66">
        <f>'Diets and Performance'!D22</f>
        <v>1.86</v>
      </c>
      <c r="F15" s="66">
        <f>'Diets and Performance'!G22</f>
        <v>1.9470000000000005</v>
      </c>
      <c r="G15" s="66">
        <f>'Diets and Performance'!H22</f>
        <v>1.8301250000000004</v>
      </c>
      <c r="H15" s="66">
        <f>'Diets and Performance'!I22</f>
        <v>1.7050000000000003</v>
      </c>
    </row>
    <row r="16" spans="1:8" ht="15.75">
      <c r="A16" s="51" t="s">
        <v>181</v>
      </c>
      <c r="B16" s="54"/>
      <c r="C16" s="54">
        <f aca="true" t="shared" si="2" ref="C16:H16">$B15*C15</f>
        <v>86.28750000000001</v>
      </c>
      <c r="D16" s="54">
        <f t="shared" si="2"/>
        <v>82.16116071428574</v>
      </c>
      <c r="E16" s="54">
        <f t="shared" si="2"/>
        <v>77.72142857142859</v>
      </c>
      <c r="F16" s="54">
        <f t="shared" si="2"/>
        <v>81.35678571428575</v>
      </c>
      <c r="G16" s="54">
        <f t="shared" si="2"/>
        <v>76.47308035714289</v>
      </c>
      <c r="H16" s="54">
        <f t="shared" si="2"/>
        <v>71.24464285714288</v>
      </c>
    </row>
    <row r="17" spans="1:8" ht="15.75">
      <c r="A17" s="51" t="s">
        <v>166</v>
      </c>
      <c r="B17" s="65">
        <f>'Prices and Spreads'!G7</f>
        <v>60</v>
      </c>
      <c r="C17" s="56">
        <f>'Diets and Performance'!C23</f>
        <v>0.09076923076923077</v>
      </c>
      <c r="D17" s="56">
        <f>'Diets and Performance'!F23</f>
        <v>0.08642857142857142</v>
      </c>
      <c r="E17" s="56">
        <f>'Diets and Performance'!D23</f>
        <v>0.08175824175824177</v>
      </c>
      <c r="F17" s="56">
        <f>'Diets and Performance'!G23</f>
        <v>0.0855824175824176</v>
      </c>
      <c r="G17" s="56">
        <f>'Diets and Performance'!H23</f>
        <v>0.08044505494505497</v>
      </c>
      <c r="H17" s="56">
        <f>'Diets and Performance'!I23</f>
        <v>0.07494505494505496</v>
      </c>
    </row>
    <row r="18" spans="1:8" ht="15.75">
      <c r="A18" s="51" t="s">
        <v>167</v>
      </c>
      <c r="B18" s="54"/>
      <c r="C18" s="54">
        <f aca="true" t="shared" si="3" ref="C18:H18">$B17*C17</f>
        <v>5.446153846153846</v>
      </c>
      <c r="D18" s="54">
        <f t="shared" si="3"/>
        <v>5.185714285714285</v>
      </c>
      <c r="E18" s="54">
        <f t="shared" si="3"/>
        <v>4.905494505494506</v>
      </c>
      <c r="F18" s="54">
        <f t="shared" si="3"/>
        <v>5.134945054945056</v>
      </c>
      <c r="G18" s="54">
        <f t="shared" si="3"/>
        <v>4.826703296703298</v>
      </c>
      <c r="H18" s="54">
        <f t="shared" si="3"/>
        <v>4.496703296703298</v>
      </c>
    </row>
    <row r="19" spans="1:8" ht="15.75">
      <c r="A19" s="4" t="s">
        <v>311</v>
      </c>
      <c r="B19" s="65">
        <f>'Prices and Spreads'!G8</f>
        <v>32.5</v>
      </c>
      <c r="C19" s="66">
        <f>'Diets and Performance'!C24</f>
        <v>0.4347368421052632</v>
      </c>
      <c r="D19" s="66">
        <f>'Diets and Performance'!F24</f>
        <v>0.4139473684210527</v>
      </c>
      <c r="E19" s="66">
        <f>'Diets and Performance'!D24</f>
        <v>0.3915789473684211</v>
      </c>
      <c r="F19" s="66">
        <f>'Diets and Performance'!G24</f>
        <v>0.4098947368421053</v>
      </c>
      <c r="G19" s="66">
        <f>'Diets and Performance'!H24</f>
        <v>0.38528947368421057</v>
      </c>
      <c r="H19" s="66">
        <f>'Diets and Performance'!I24</f>
        <v>0.35894736842105274</v>
      </c>
    </row>
    <row r="20" spans="1:8" ht="15.75">
      <c r="A20" s="51" t="s">
        <v>312</v>
      </c>
      <c r="B20" s="54"/>
      <c r="C20" s="54">
        <f aca="true" t="shared" si="4" ref="C20:H20">$B19*C19</f>
        <v>14.128947368421054</v>
      </c>
      <c r="D20" s="54">
        <f t="shared" si="4"/>
        <v>13.453289473684212</v>
      </c>
      <c r="E20" s="54">
        <f t="shared" si="4"/>
        <v>12.726315789473686</v>
      </c>
      <c r="F20" s="54">
        <f t="shared" si="4"/>
        <v>13.321578947368423</v>
      </c>
      <c r="G20" s="54">
        <f t="shared" si="4"/>
        <v>12.521907894736843</v>
      </c>
      <c r="H20" s="54">
        <f t="shared" si="4"/>
        <v>11.665789473684214</v>
      </c>
    </row>
    <row r="21" spans="1:8" ht="15.75">
      <c r="A21" s="4" t="s">
        <v>313</v>
      </c>
      <c r="B21" s="65">
        <f>'Prices and Spreads'!G10</f>
        <v>30</v>
      </c>
      <c r="C21" s="66">
        <f>'Diets and Performance'!C27</f>
        <v>0.7200655</v>
      </c>
      <c r="D21" s="66">
        <f>'Diets and Performance'!F27</f>
        <v>0.6856313750000003</v>
      </c>
      <c r="E21" s="66">
        <f>'Diets and Performance'!D27</f>
        <v>0.6485820000000001</v>
      </c>
      <c r="F21" s="66">
        <f>'Diets and Performance'!G27</f>
        <v>0.6789189000000002</v>
      </c>
      <c r="G21" s="66">
        <f>'Diets and Performance'!H27</f>
        <v>0.6381645875000002</v>
      </c>
      <c r="H21" s="66">
        <f>'Diets and Performance'!I27</f>
        <v>0.5945335000000002</v>
      </c>
    </row>
    <row r="22" spans="1:8" ht="15.75">
      <c r="A22" s="51" t="s">
        <v>314</v>
      </c>
      <c r="B22" s="54"/>
      <c r="C22" s="54">
        <f aca="true" t="shared" si="5" ref="C22:H22">$B21*C21</f>
        <v>21.601965</v>
      </c>
      <c r="D22" s="54">
        <f t="shared" si="5"/>
        <v>20.56894125000001</v>
      </c>
      <c r="E22" s="54">
        <f t="shared" si="5"/>
        <v>19.457460000000005</v>
      </c>
      <c r="F22" s="54">
        <f t="shared" si="5"/>
        <v>20.367567000000008</v>
      </c>
      <c r="G22" s="54">
        <f t="shared" si="5"/>
        <v>19.144937625000004</v>
      </c>
      <c r="H22" s="54">
        <f t="shared" si="5"/>
        <v>17.836005000000004</v>
      </c>
    </row>
    <row r="23" spans="1:8" ht="15.75">
      <c r="A23" s="49" t="s">
        <v>168</v>
      </c>
      <c r="B23" s="57"/>
      <c r="C23" s="55">
        <f aca="true" t="shared" si="6" ref="C23:H23">C14+C16+C18+C20+C22</f>
        <v>253.45439398446126</v>
      </c>
      <c r="D23" s="55">
        <f t="shared" si="6"/>
        <v>241.33399620917533</v>
      </c>
      <c r="E23" s="55">
        <f t="shared" si="6"/>
        <v>228.2930618939942</v>
      </c>
      <c r="F23" s="55">
        <f t="shared" si="6"/>
        <v>238.97128575677783</v>
      </c>
      <c r="G23" s="55">
        <f t="shared" si="6"/>
        <v>224.6262580100786</v>
      </c>
      <c r="H23" s="55">
        <f t="shared" si="6"/>
        <v>209.2686400694947</v>
      </c>
    </row>
    <row r="25" ht="15.75">
      <c r="A25" s="49" t="s">
        <v>169</v>
      </c>
    </row>
    <row r="26" spans="1:8" ht="15.75">
      <c r="A26" s="51" t="s">
        <v>170</v>
      </c>
      <c r="B26" s="54"/>
      <c r="C26" s="54">
        <v>18.7</v>
      </c>
      <c r="D26" s="54">
        <v>13.8</v>
      </c>
      <c r="E26" s="54">
        <v>12.75</v>
      </c>
      <c r="F26" s="54">
        <v>18.7</v>
      </c>
      <c r="G26" s="54">
        <v>13.8</v>
      </c>
      <c r="H26" s="54">
        <v>12.75</v>
      </c>
    </row>
    <row r="27" spans="1:8" ht="15.75">
      <c r="A27" s="51" t="s">
        <v>171</v>
      </c>
      <c r="B27" s="75">
        <v>0.07</v>
      </c>
      <c r="C27" s="54">
        <f aca="true" t="shared" si="7" ref="C27:H27">($B27*C11)*(C7/365)</f>
        <v>19.410815595363545</v>
      </c>
      <c r="D27" s="54">
        <f t="shared" si="7"/>
        <v>18.992348765123495</v>
      </c>
      <c r="E27" s="54">
        <f t="shared" si="7"/>
        <v>18.046575342465754</v>
      </c>
      <c r="F27" s="54">
        <f t="shared" si="7"/>
        <v>16.714436248682823</v>
      </c>
      <c r="G27" s="54">
        <f t="shared" si="7"/>
        <v>16.292426312924267</v>
      </c>
      <c r="H27" s="54">
        <f t="shared" si="7"/>
        <v>15.371321664129884</v>
      </c>
    </row>
    <row r="28" spans="1:8" ht="15.75">
      <c r="A28" s="51" t="s">
        <v>172</v>
      </c>
      <c r="B28" s="75">
        <v>0.07</v>
      </c>
      <c r="C28" s="54">
        <f aca="true" t="shared" si="8" ref="C28:H28">$B28*(C23+C26)*0.5*(C7/365)</f>
        <v>5.620891593356629</v>
      </c>
      <c r="D28" s="54">
        <f t="shared" si="8"/>
        <v>4.642974433563636</v>
      </c>
      <c r="E28" s="54">
        <f t="shared" si="8"/>
        <v>3.8522863773012777</v>
      </c>
      <c r="F28" s="54">
        <f t="shared" si="8"/>
        <v>5.068349842774695</v>
      </c>
      <c r="G28" s="54">
        <f t="shared" si="8"/>
        <v>4.079330259590941</v>
      </c>
      <c r="H28" s="54">
        <f t="shared" si="8"/>
        <v>3.285410283456923</v>
      </c>
    </row>
    <row r="29" spans="1:8" ht="15.75">
      <c r="A29" s="51" t="s">
        <v>183</v>
      </c>
      <c r="B29" s="54"/>
      <c r="C29" s="54">
        <f>C7*Inputs!$G69+Inputs!$G70*'Diets and Performance'!C29/2000+2*Inputs!$G71</f>
        <v>92.61538461538461</v>
      </c>
      <c r="D29" s="54">
        <f>D7*Inputs!$G69+Inputs!$G70*'Diets and Performance'!F29/2000+2*Inputs!$G71</f>
        <v>81.6058394160584</v>
      </c>
      <c r="E29" s="54">
        <f>E7*Inputs!$G69+Inputs!$G70*'Diets and Performance'!D29/2000+2*Inputs!$G71</f>
        <v>71.66666666666666</v>
      </c>
      <c r="F29" s="54">
        <f>F7*Inputs!$G69+Inputs!$G70*'Diets and Performance'!G29/2000+2*Inputs!$G71</f>
        <v>88.20512820512819</v>
      </c>
      <c r="G29" s="54">
        <f>G7*Inputs!$G69+Inputs!$G70*'Diets and Performance'!H29/2000+2*Inputs!$G71</f>
        <v>76.72343876723438</v>
      </c>
      <c r="H29" s="54">
        <f>H7*Inputs!$G69+Inputs!$G70*'Diets and Performance'!I29/2000+2*Inputs!$G71</f>
        <v>66.35802469135803</v>
      </c>
    </row>
    <row r="30" spans="1:8" ht="15.75">
      <c r="A30" s="51" t="s">
        <v>173</v>
      </c>
      <c r="B30" s="54"/>
      <c r="C30" s="58">
        <f>'Diets and Performance'!C10</f>
        <v>0.015</v>
      </c>
      <c r="D30" s="58">
        <f>'Diets and Performance'!F10</f>
        <v>0.01</v>
      </c>
      <c r="E30" s="58">
        <f>'Diets and Performance'!D10</f>
        <v>0.0075</v>
      </c>
      <c r="F30" s="58">
        <f>'Diets and Performance'!G10</f>
        <v>0.015</v>
      </c>
      <c r="G30" s="58">
        <f>'Diets and Performance'!H10</f>
        <v>0.01</v>
      </c>
      <c r="H30" s="58">
        <f>'Diets and Performance'!I10</f>
        <v>0.005</v>
      </c>
    </row>
    <row r="31" spans="1:8" ht="15.75">
      <c r="A31" s="51" t="s">
        <v>174</v>
      </c>
      <c r="C31" s="54">
        <f aca="true" t="shared" si="9" ref="C31:H31">C30*C11</f>
        <v>7.0488</v>
      </c>
      <c r="D31" s="54">
        <f t="shared" si="9"/>
        <v>5.2182</v>
      </c>
      <c r="E31" s="54">
        <f t="shared" si="9"/>
        <v>4.2345</v>
      </c>
      <c r="F31" s="54">
        <f t="shared" si="9"/>
        <v>6.373125</v>
      </c>
      <c r="G31" s="54">
        <f t="shared" si="9"/>
        <v>4.76125</v>
      </c>
      <c r="H31" s="54">
        <f t="shared" si="9"/>
        <v>2.5968750000000003</v>
      </c>
    </row>
    <row r="32" spans="1:8" ht="15.75">
      <c r="A32" s="51" t="s">
        <v>175</v>
      </c>
      <c r="B32" s="54"/>
      <c r="C32" s="54">
        <v>22</v>
      </c>
      <c r="D32" s="54">
        <v>25</v>
      </c>
      <c r="E32" s="54">
        <v>28</v>
      </c>
      <c r="F32" s="54">
        <v>22</v>
      </c>
      <c r="G32" s="54">
        <v>25</v>
      </c>
      <c r="H32" s="54">
        <v>28</v>
      </c>
    </row>
    <row r="33" spans="1:8" ht="15.75">
      <c r="A33" s="51"/>
      <c r="B33" s="54"/>
      <c r="C33" s="54"/>
      <c r="D33" s="54"/>
      <c r="E33" s="54"/>
      <c r="F33" s="54"/>
      <c r="G33" s="54"/>
      <c r="H33" s="54"/>
    </row>
    <row r="34" spans="1:8" s="57" customFormat="1" ht="16.5" thickBot="1">
      <c r="A34" s="59" t="s">
        <v>176</v>
      </c>
      <c r="B34" s="60"/>
      <c r="C34" s="61">
        <f aca="true" t="shared" si="10" ref="C34:H34">C26+C27+C28+C29+C31+C32</f>
        <v>165.3958918041048</v>
      </c>
      <c r="D34" s="61">
        <f t="shared" si="10"/>
        <v>149.25936261474553</v>
      </c>
      <c r="E34" s="61">
        <f t="shared" si="10"/>
        <v>138.5500283864337</v>
      </c>
      <c r="F34" s="61">
        <f t="shared" si="10"/>
        <v>157.06103929658568</v>
      </c>
      <c r="G34" s="61">
        <f t="shared" si="10"/>
        <v>140.6564453397496</v>
      </c>
      <c r="H34" s="61">
        <f t="shared" si="10"/>
        <v>128.36163163894483</v>
      </c>
    </row>
    <row r="35" spans="1:8" s="57" customFormat="1" ht="15.75">
      <c r="A35" s="62"/>
      <c r="B35" s="69"/>
      <c r="C35" s="63"/>
      <c r="D35" s="63"/>
      <c r="E35" s="63"/>
      <c r="F35" s="63"/>
      <c r="G35" s="63"/>
      <c r="H35" s="63"/>
    </row>
    <row r="36" spans="1:8" ht="15.75">
      <c r="A36" s="49" t="s">
        <v>177</v>
      </c>
      <c r="B36" s="55"/>
      <c r="C36" s="55">
        <f aca="true" t="shared" si="11" ref="C36:H36">+C34+C23+C11</f>
        <v>888.7702857885661</v>
      </c>
      <c r="D36" s="55">
        <f t="shared" si="11"/>
        <v>912.4133588239209</v>
      </c>
      <c r="E36" s="55">
        <f t="shared" si="11"/>
        <v>931.4430902804279</v>
      </c>
      <c r="F36" s="55">
        <f t="shared" si="11"/>
        <v>820.9073250533635</v>
      </c>
      <c r="G36" s="55">
        <f t="shared" si="11"/>
        <v>841.4077033498282</v>
      </c>
      <c r="H36" s="55">
        <f t="shared" si="11"/>
        <v>857.0052717084395</v>
      </c>
    </row>
    <row r="37" spans="1:8" ht="15.75">
      <c r="A37" s="51" t="s">
        <v>178</v>
      </c>
      <c r="B37" s="54"/>
      <c r="C37" s="54"/>
      <c r="D37" s="54"/>
      <c r="E37" s="54"/>
      <c r="F37" s="54"/>
      <c r="G37" s="54"/>
      <c r="H37" s="54"/>
    </row>
    <row r="38" spans="1:8" s="57" customFormat="1" ht="15.75">
      <c r="A38" s="49" t="s">
        <v>184</v>
      </c>
      <c r="B38" s="55"/>
      <c r="C38" s="55">
        <f aca="true" t="shared" si="12" ref="C38:H38">100*C36/C6</f>
        <v>71.10162286308528</v>
      </c>
      <c r="D38" s="55">
        <f t="shared" si="12"/>
        <v>70.18564298645545</v>
      </c>
      <c r="E38" s="55">
        <f t="shared" si="12"/>
        <v>68.99578446521687</v>
      </c>
      <c r="F38" s="55">
        <f t="shared" si="12"/>
        <v>71.38324565681421</v>
      </c>
      <c r="G38" s="55">
        <f t="shared" si="12"/>
        <v>70.11730861248569</v>
      </c>
      <c r="H38" s="55">
        <f t="shared" si="12"/>
        <v>68.56042173667517</v>
      </c>
    </row>
    <row r="39" spans="2:8" ht="15.75">
      <c r="B39" s="54"/>
      <c r="C39" s="54"/>
      <c r="D39" s="54"/>
      <c r="E39" s="54"/>
      <c r="F39" s="54"/>
      <c r="G39" s="54"/>
      <c r="H39" s="54"/>
    </row>
    <row r="40" spans="1:8" ht="15.75">
      <c r="A40" s="48" t="s">
        <v>185</v>
      </c>
      <c r="C40" s="73">
        <v>69.5</v>
      </c>
      <c r="D40" s="73">
        <v>69.5</v>
      </c>
      <c r="E40" s="73">
        <v>69.5</v>
      </c>
      <c r="F40" s="73">
        <v>69.5</v>
      </c>
      <c r="G40" s="73">
        <v>69.5</v>
      </c>
      <c r="H40" s="73">
        <v>69.5</v>
      </c>
    </row>
    <row r="41" spans="1:8" s="72" customFormat="1" ht="15.75">
      <c r="A41" s="72" t="s">
        <v>187</v>
      </c>
      <c r="C41" s="74">
        <f aca="true" t="shared" si="13" ref="C41:H41">C40*C6/100</f>
        <v>868.75</v>
      </c>
      <c r="D41" s="74">
        <f t="shared" si="13"/>
        <v>903.5</v>
      </c>
      <c r="E41" s="74">
        <f t="shared" si="13"/>
        <v>938.25</v>
      </c>
      <c r="F41" s="74">
        <f t="shared" si="13"/>
        <v>799.25</v>
      </c>
      <c r="G41" s="74">
        <f t="shared" si="13"/>
        <v>834</v>
      </c>
      <c r="H41" s="74">
        <f t="shared" si="13"/>
        <v>868.75</v>
      </c>
    </row>
    <row r="43" spans="1:8" ht="15.75">
      <c r="A43" s="48" t="s">
        <v>186</v>
      </c>
      <c r="C43" s="74">
        <f aca="true" t="shared" si="14" ref="C43:H43">C41-C36</f>
        <v>-20.02028578856607</v>
      </c>
      <c r="D43" s="74">
        <f t="shared" si="14"/>
        <v>-8.91335882392093</v>
      </c>
      <c r="E43" s="74">
        <f t="shared" si="14"/>
        <v>6.806909719572104</v>
      </c>
      <c r="F43" s="74">
        <f t="shared" si="14"/>
        <v>-21.65732505336348</v>
      </c>
      <c r="G43" s="74">
        <f t="shared" si="14"/>
        <v>-7.407703349828239</v>
      </c>
      <c r="H43" s="74">
        <f t="shared" si="14"/>
        <v>11.744728291560477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9"/>
  <sheetViews>
    <sheetView workbookViewId="0" topLeftCell="A1">
      <pane xSplit="1" ySplit="4" topLeftCell="B2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3" sqref="D253"/>
    </sheetView>
  </sheetViews>
  <sheetFormatPr defaultColWidth="8.796875" defaultRowHeight="15"/>
  <cols>
    <col min="1" max="1" width="7.09765625" style="93" customWidth="1"/>
    <col min="2" max="2" width="8.8984375" style="84" customWidth="1"/>
    <col min="3" max="11" width="7.09765625" style="84" customWidth="1"/>
    <col min="12" max="12" width="8.19921875" style="84" customWidth="1"/>
    <col min="13" max="13" width="8.19921875" style="0" customWidth="1"/>
    <col min="14" max="14" width="8.19921875" style="106" customWidth="1"/>
    <col min="15" max="17" width="9.69921875" style="106" customWidth="1"/>
  </cols>
  <sheetData>
    <row r="1" ht="15">
      <c r="N1" s="106" t="s">
        <v>294</v>
      </c>
    </row>
    <row r="2" ht="15">
      <c r="F2" s="95" t="s">
        <v>274</v>
      </c>
    </row>
    <row r="3" spans="2:17" ht="15">
      <c r="B3" s="84" t="s">
        <v>276</v>
      </c>
      <c r="C3" s="84" t="s">
        <v>275</v>
      </c>
      <c r="D3" s="84" t="s">
        <v>277</v>
      </c>
      <c r="E3" s="84" t="s">
        <v>278</v>
      </c>
      <c r="F3" s="89">
        <f>'Cattle Returns'!C4</f>
        <v>0.4</v>
      </c>
      <c r="G3" s="84" t="s">
        <v>279</v>
      </c>
      <c r="I3" s="84" t="s">
        <v>280</v>
      </c>
      <c r="J3" s="84" t="s">
        <v>281</v>
      </c>
      <c r="K3" s="84" t="s">
        <v>282</v>
      </c>
      <c r="L3" s="84" t="s">
        <v>283</v>
      </c>
      <c r="N3" s="278" t="s">
        <v>292</v>
      </c>
      <c r="O3" s="279"/>
      <c r="P3" s="278" t="s">
        <v>293</v>
      </c>
      <c r="Q3" s="279"/>
    </row>
    <row r="4" spans="2:17" ht="15">
      <c r="B4" s="84" t="s">
        <v>285</v>
      </c>
      <c r="C4" s="84" t="s">
        <v>284</v>
      </c>
      <c r="D4" s="84" t="s">
        <v>286</v>
      </c>
      <c r="E4" s="84" t="s">
        <v>287</v>
      </c>
      <c r="F4" s="89">
        <f>'Cattle Returns'!C5</f>
        <v>0.9</v>
      </c>
      <c r="G4" s="84" t="s">
        <v>288</v>
      </c>
      <c r="I4" s="84" t="s">
        <v>289</v>
      </c>
      <c r="J4" s="84" t="s">
        <v>290</v>
      </c>
      <c r="K4" s="84" t="s">
        <v>291</v>
      </c>
      <c r="L4" s="84" t="s">
        <v>283</v>
      </c>
      <c r="N4" s="107" t="s">
        <v>209</v>
      </c>
      <c r="O4" s="107" t="s">
        <v>210</v>
      </c>
      <c r="P4" s="107" t="s">
        <v>209</v>
      </c>
      <c r="Q4" s="107" t="s">
        <v>210</v>
      </c>
    </row>
    <row r="5" ht="15">
      <c r="F5" s="89"/>
    </row>
    <row r="6" spans="1:12" ht="15">
      <c r="A6" s="93">
        <v>32509</v>
      </c>
      <c r="B6" s="84">
        <v>94.78</v>
      </c>
      <c r="C6" s="84">
        <v>84.45</v>
      </c>
      <c r="D6" s="84">
        <v>73.84</v>
      </c>
      <c r="E6" s="84">
        <v>2.47</v>
      </c>
      <c r="F6" s="84">
        <f>2000/56*E6*'Cattle Returns'!C$5*'Cattle Returns'!C$4</f>
        <v>31.757142857142863</v>
      </c>
      <c r="G6" s="84">
        <v>60</v>
      </c>
      <c r="H6" s="84">
        <v>300</v>
      </c>
      <c r="I6" s="84">
        <f>10*E6</f>
        <v>24.700000000000003</v>
      </c>
      <c r="J6" s="84">
        <v>325</v>
      </c>
      <c r="K6" s="84">
        <v>155.38</v>
      </c>
      <c r="L6" s="84">
        <v>12.04</v>
      </c>
    </row>
    <row r="7" spans="1:12" ht="15">
      <c r="A7" s="93">
        <v>32540</v>
      </c>
      <c r="B7" s="84">
        <v>94.72</v>
      </c>
      <c r="C7" s="84">
        <v>84.5</v>
      </c>
      <c r="D7" s="84">
        <v>74.22</v>
      </c>
      <c r="E7" s="84">
        <v>2.54</v>
      </c>
      <c r="F7" s="84">
        <f>2000/56*E7*'Cattle Returns'!C$5*'Cattle Returns'!C$4</f>
        <v>32.657142857142865</v>
      </c>
      <c r="G7" s="84">
        <v>60</v>
      </c>
      <c r="H7" s="84">
        <v>300</v>
      </c>
      <c r="I7" s="84">
        <f aca="true" t="shared" si="0" ref="I7:I70">10*E7</f>
        <v>25.4</v>
      </c>
      <c r="J7" s="84">
        <v>316.6</v>
      </c>
      <c r="K7" s="84">
        <v>155</v>
      </c>
      <c r="L7" s="84">
        <v>12.5</v>
      </c>
    </row>
    <row r="8" spans="1:12" ht="15">
      <c r="A8" s="93">
        <v>32568</v>
      </c>
      <c r="B8" s="84">
        <v>95.12</v>
      </c>
      <c r="C8" s="84">
        <v>80.63</v>
      </c>
      <c r="D8" s="84">
        <v>77.74</v>
      </c>
      <c r="E8" s="84">
        <v>2.53</v>
      </c>
      <c r="F8" s="84">
        <f>2000/56*E8*'Cattle Returns'!C$5*'Cattle Returns'!C$4</f>
        <v>32.52857142857143</v>
      </c>
      <c r="G8" s="84">
        <v>60</v>
      </c>
      <c r="H8" s="84">
        <v>300</v>
      </c>
      <c r="I8" s="84">
        <f t="shared" si="0"/>
        <v>25.299999999999997</v>
      </c>
      <c r="J8" s="84">
        <v>317</v>
      </c>
      <c r="K8" s="84">
        <v>154.25</v>
      </c>
      <c r="L8" s="84">
        <v>12.5</v>
      </c>
    </row>
    <row r="9" spans="1:12" ht="15">
      <c r="A9" s="93">
        <v>32599</v>
      </c>
      <c r="B9" s="84">
        <v>94.19</v>
      </c>
      <c r="C9" s="84">
        <v>76.25</v>
      </c>
      <c r="D9" s="84">
        <v>76.67</v>
      </c>
      <c r="E9" s="84">
        <v>2.45</v>
      </c>
      <c r="F9" s="84">
        <f>2000/56*E9*'Cattle Returns'!C$5*'Cattle Returns'!C$4</f>
        <v>31.500000000000007</v>
      </c>
      <c r="G9" s="84">
        <v>60</v>
      </c>
      <c r="H9" s="84">
        <v>300</v>
      </c>
      <c r="I9" s="84">
        <f t="shared" si="0"/>
        <v>24.5</v>
      </c>
      <c r="J9" s="84">
        <v>307</v>
      </c>
      <c r="K9" s="84">
        <v>153.5</v>
      </c>
      <c r="L9" s="84">
        <v>12.67</v>
      </c>
    </row>
    <row r="10" spans="1:12" ht="15">
      <c r="A10" s="93">
        <v>32629</v>
      </c>
      <c r="B10" s="84">
        <v>89.53</v>
      </c>
      <c r="C10" s="84">
        <v>76.76</v>
      </c>
      <c r="D10" s="84">
        <v>75.19</v>
      </c>
      <c r="E10" s="84">
        <v>2.53</v>
      </c>
      <c r="F10" s="84">
        <f>2000/56*E10*'Cattle Returns'!C$5*'Cattle Returns'!C$4</f>
        <v>32.52857142857143</v>
      </c>
      <c r="G10" s="84">
        <v>60</v>
      </c>
      <c r="H10" s="84">
        <v>300</v>
      </c>
      <c r="I10" s="84">
        <f t="shared" si="0"/>
        <v>25.299999999999997</v>
      </c>
      <c r="J10" s="84">
        <v>300.6</v>
      </c>
      <c r="K10" s="84">
        <v>153.5</v>
      </c>
      <c r="L10" s="84">
        <v>12.75</v>
      </c>
    </row>
    <row r="11" spans="1:12" ht="15">
      <c r="A11" s="93">
        <v>32660</v>
      </c>
      <c r="B11" s="84">
        <v>93.86</v>
      </c>
      <c r="C11" s="84">
        <v>82.47</v>
      </c>
      <c r="D11" s="84">
        <v>72.42</v>
      </c>
      <c r="E11" s="84">
        <v>2.38</v>
      </c>
      <c r="F11" s="84">
        <f>2000/56*E11*'Cattle Returns'!C$5*'Cattle Returns'!C$4</f>
        <v>30.6</v>
      </c>
      <c r="G11" s="84">
        <v>60</v>
      </c>
      <c r="H11" s="84">
        <v>300</v>
      </c>
      <c r="I11" s="84">
        <f t="shared" si="0"/>
        <v>23.799999999999997</v>
      </c>
      <c r="J11" s="84">
        <v>304</v>
      </c>
      <c r="K11" s="84">
        <v>153.5</v>
      </c>
      <c r="L11" s="84">
        <v>12.63</v>
      </c>
    </row>
    <row r="12" spans="1:12" ht="15">
      <c r="A12" s="93">
        <v>32690</v>
      </c>
      <c r="B12" s="84">
        <v>95.19</v>
      </c>
      <c r="C12" s="84">
        <v>85.47</v>
      </c>
      <c r="D12" s="84">
        <v>70.97</v>
      </c>
      <c r="E12" s="84">
        <v>2.32</v>
      </c>
      <c r="F12" s="84">
        <f>2000/56*E12*'Cattle Returns'!C$5*'Cattle Returns'!C$4</f>
        <v>29.82857142857143</v>
      </c>
      <c r="G12" s="84">
        <v>60</v>
      </c>
      <c r="H12" s="84">
        <v>300</v>
      </c>
      <c r="I12" s="84">
        <f t="shared" si="0"/>
        <v>23.2</v>
      </c>
      <c r="J12" s="84">
        <v>307</v>
      </c>
      <c r="K12" s="84">
        <v>149.75</v>
      </c>
      <c r="L12" s="84">
        <v>12.44</v>
      </c>
    </row>
    <row r="13" spans="1:12" ht="15">
      <c r="A13" s="93">
        <v>32721</v>
      </c>
      <c r="B13" s="84">
        <v>94.39</v>
      </c>
      <c r="C13" s="84">
        <v>85.34</v>
      </c>
      <c r="D13" s="84">
        <v>72.19</v>
      </c>
      <c r="E13" s="84">
        <v>2.15</v>
      </c>
      <c r="F13" s="84">
        <f>2000/56*E13*'Cattle Returns'!C$5*'Cattle Returns'!C$4</f>
        <v>27.642857142857146</v>
      </c>
      <c r="G13" s="84">
        <v>60</v>
      </c>
      <c r="H13" s="84">
        <v>300</v>
      </c>
      <c r="I13" s="84">
        <f t="shared" si="0"/>
        <v>21.5</v>
      </c>
      <c r="J13" s="84">
        <v>294.2</v>
      </c>
      <c r="K13" s="84">
        <v>148.5</v>
      </c>
      <c r="L13" s="84">
        <v>12.24</v>
      </c>
    </row>
    <row r="14" spans="1:12" ht="15">
      <c r="A14" s="93">
        <v>32752</v>
      </c>
      <c r="B14" s="84">
        <v>91.75</v>
      </c>
      <c r="C14" s="84">
        <v>83.89</v>
      </c>
      <c r="D14" s="84">
        <v>68.95</v>
      </c>
      <c r="E14" s="84">
        <v>2.15</v>
      </c>
      <c r="F14" s="84">
        <f>2000/56*E14*'Cattle Returns'!C$5*'Cattle Returns'!C$4</f>
        <v>27.642857142857146</v>
      </c>
      <c r="G14" s="84">
        <v>60</v>
      </c>
      <c r="H14" s="84">
        <v>300</v>
      </c>
      <c r="I14" s="84">
        <f t="shared" si="0"/>
        <v>21.5</v>
      </c>
      <c r="J14" s="84">
        <v>297</v>
      </c>
      <c r="K14" s="84">
        <v>144.5</v>
      </c>
      <c r="L14" s="84">
        <v>12.12</v>
      </c>
    </row>
    <row r="15" spans="1:12" ht="15">
      <c r="A15" s="93">
        <v>32782</v>
      </c>
      <c r="B15" s="84">
        <v>90.96</v>
      </c>
      <c r="C15" s="84">
        <v>83.32</v>
      </c>
      <c r="D15" s="84">
        <v>70.71</v>
      </c>
      <c r="E15" s="84">
        <v>2.09</v>
      </c>
      <c r="F15" s="84">
        <f>2000/56*E15*'Cattle Returns'!C$5*'Cattle Returns'!C$4</f>
        <v>26.871428571428574</v>
      </c>
      <c r="G15" s="84">
        <v>60</v>
      </c>
      <c r="H15" s="84">
        <v>300</v>
      </c>
      <c r="I15" s="84">
        <f t="shared" si="0"/>
        <v>20.9</v>
      </c>
      <c r="J15" s="84">
        <v>281</v>
      </c>
      <c r="K15" s="84">
        <v>144.5</v>
      </c>
      <c r="L15" s="84">
        <v>12.37</v>
      </c>
    </row>
    <row r="16" spans="1:12" ht="15">
      <c r="A16" s="93">
        <v>32813</v>
      </c>
      <c r="B16" s="84">
        <v>91.75</v>
      </c>
      <c r="C16" s="84">
        <v>85.15</v>
      </c>
      <c r="D16" s="84">
        <v>74.27</v>
      </c>
      <c r="E16" s="84">
        <v>2.17</v>
      </c>
      <c r="F16" s="84">
        <f>2000/56*E16*'Cattle Returns'!C$5*'Cattle Returns'!C$4</f>
        <v>27.900000000000002</v>
      </c>
      <c r="G16" s="84">
        <v>60</v>
      </c>
      <c r="H16" s="84">
        <v>300</v>
      </c>
      <c r="I16" s="84">
        <f t="shared" si="0"/>
        <v>21.7</v>
      </c>
      <c r="J16" s="84">
        <v>275.5</v>
      </c>
      <c r="K16" s="84">
        <v>144.5</v>
      </c>
      <c r="L16" s="84">
        <v>11.78</v>
      </c>
    </row>
    <row r="17" spans="1:12" ht="15">
      <c r="A17" s="93">
        <v>32843</v>
      </c>
      <c r="B17" s="84">
        <v>90.46</v>
      </c>
      <c r="C17" s="84">
        <v>87.11</v>
      </c>
      <c r="D17" s="84">
        <v>77.06</v>
      </c>
      <c r="E17" s="84">
        <v>2.16</v>
      </c>
      <c r="F17" s="84">
        <f>2000/56*E17*'Cattle Returns'!C$5*'Cattle Returns'!C$4</f>
        <v>27.77142857142858</v>
      </c>
      <c r="G17" s="84">
        <v>60</v>
      </c>
      <c r="H17" s="84">
        <v>300</v>
      </c>
      <c r="I17" s="84">
        <f t="shared" si="0"/>
        <v>21.6</v>
      </c>
      <c r="J17" s="84">
        <v>276</v>
      </c>
      <c r="K17" s="84">
        <v>144.5</v>
      </c>
      <c r="L17" s="84">
        <v>11.74</v>
      </c>
    </row>
    <row r="18" spans="1:17" ht="15">
      <c r="A18" s="93">
        <v>32874</v>
      </c>
      <c r="B18" s="84">
        <v>92.13</v>
      </c>
      <c r="C18" s="84">
        <v>84.86</v>
      </c>
      <c r="D18" s="84">
        <v>78.35</v>
      </c>
      <c r="E18" s="84">
        <v>2.14</v>
      </c>
      <c r="F18" s="84">
        <f>2000/56*E18*'Cattle Returns'!C$5*'Cattle Returns'!C$4</f>
        <v>27.51428571428572</v>
      </c>
      <c r="G18" s="84">
        <v>60</v>
      </c>
      <c r="H18" s="84">
        <v>300</v>
      </c>
      <c r="I18" s="84">
        <f t="shared" si="0"/>
        <v>21.400000000000002</v>
      </c>
      <c r="J18" s="84">
        <v>269.8</v>
      </c>
      <c r="K18" s="84">
        <v>144.3</v>
      </c>
      <c r="L18" s="84">
        <v>11.36</v>
      </c>
      <c r="N18" s="107">
        <f>AVERAGE($E12:$E18)*'Assumptions and Rations'!G$28+AVERAGE($F12:$F18)*'Assumptions and Rations'!G$31+AVERAGE($G12:$G18)*'Assumptions and Rations'!G$29+AVERAGE($I12:$I18)*'Assumptions and Rations'!G$30+'Prices and Spreads'!J$11</f>
        <v>178.2348909939405</v>
      </c>
      <c r="O18" s="107">
        <f>AVERAGE($E14:$E18)*'Assumptions and Rations'!H$28+AVERAGE($F14:$F18)*'Assumptions and Rations'!H$31+AVERAGE($G14:$G18)*'Assumptions and Rations'!H$29+AVERAGE($I14:$I18)*'Assumptions and Rations'!H$30+'Prices and Spreads'!K$11</f>
        <v>156.13860767418763</v>
      </c>
      <c r="P18" s="107">
        <f>N18*0.5*$L11/100*7/12+'Prices and Spreads'!J$15*'Prices and Spreads'!J$7+'Prices and Spreads'!J$14+'Prices and Spreads'!J$12+'Prices and Spreads'!J$13*'Historic Prices'!B11*'Prices and Spreads'!J$4/100</f>
        <v>147.62456241237388</v>
      </c>
      <c r="Q18" s="107">
        <f>O18*0.5*$L13/100*5/12+'Prices and Spreads'!K$15*'Prices and Spreads'!K$7+'Prices and Spreads'!K$14+'Prices and Spreads'!K$12+'Prices and Spreads'!K$13*'Historic Prices'!D13*'Prices and Spreads'!K$4/100</f>
        <v>120.45888866235845</v>
      </c>
    </row>
    <row r="19" spans="1:17" ht="15">
      <c r="A19" s="93">
        <v>32905</v>
      </c>
      <c r="B19" s="84">
        <v>93.74</v>
      </c>
      <c r="C19" s="84">
        <v>82.14</v>
      </c>
      <c r="D19" s="84">
        <v>78.43</v>
      </c>
      <c r="E19" s="84">
        <v>2.17</v>
      </c>
      <c r="F19" s="84">
        <f>2000/56*E19*'Cattle Returns'!C$5*'Cattle Returns'!C$4</f>
        <v>27.900000000000002</v>
      </c>
      <c r="G19" s="84">
        <v>60</v>
      </c>
      <c r="H19" s="84">
        <v>300</v>
      </c>
      <c r="I19" s="84">
        <f t="shared" si="0"/>
        <v>21.7</v>
      </c>
      <c r="J19" s="84">
        <v>263</v>
      </c>
      <c r="K19" s="84">
        <v>146.7</v>
      </c>
      <c r="L19" s="84">
        <v>11.36</v>
      </c>
      <c r="N19" s="107">
        <f>AVERAGE($E13:$E19)*'Assumptions and Rations'!G$28+AVERAGE($F13:$F19)*'Assumptions and Rations'!G$31+AVERAGE($G13:$G19)*'Assumptions and Rations'!G$29+AVERAGE($I13:$I19)*'Assumptions and Rations'!G$30+'Prices and Spreads'!J$11</f>
        <v>176.74087408158357</v>
      </c>
      <c r="O19" s="107">
        <f>AVERAGE($E15:$E19)*'Assumptions and Rations'!H$28+AVERAGE($F15:$F19)*'Assumptions and Rations'!H$31+AVERAGE($G15:$G19)*'Assumptions and Rations'!H$29+AVERAGE($I15:$I19)*'Assumptions and Rations'!H$30+'Prices and Spreads'!K$11</f>
        <v>156.38980509402793</v>
      </c>
      <c r="P19" s="107">
        <f>N19*0.5*$L12/100*7/12+'Prices and Spreads'!J$15*'Prices and Spreads'!J$7+'Prices and Spreads'!J$14+'Prices and Spreads'!J$12+'Prices and Spreads'!J$13*'Historic Prices'!B12*'Prices and Spreads'!J$4/100</f>
        <v>147.58130766331138</v>
      </c>
      <c r="Q19" s="107">
        <f>O19*0.5*$L14/100*5/12+'Prices and Spreads'!K$15*'Prices and Spreads'!K$7+'Prices and Spreads'!K$14+'Prices and Spreads'!K$12+'Prices and Spreads'!K$13*'Historic Prices'!D14*'Prices and Spreads'!K$4/100</f>
        <v>120.24394674529087</v>
      </c>
    </row>
    <row r="20" spans="1:17" ht="15">
      <c r="A20" s="93">
        <v>32933</v>
      </c>
      <c r="B20" s="84">
        <v>96.53</v>
      </c>
      <c r="C20" s="84">
        <v>82.18</v>
      </c>
      <c r="D20" s="84">
        <v>78.87</v>
      </c>
      <c r="E20" s="84">
        <v>2.26</v>
      </c>
      <c r="F20" s="84">
        <f>2000/56*E20*'Cattle Returns'!C$5*'Cattle Returns'!C$4</f>
        <v>29.057142857142857</v>
      </c>
      <c r="G20" s="84">
        <v>60</v>
      </c>
      <c r="H20" s="84">
        <v>300</v>
      </c>
      <c r="I20" s="84">
        <f t="shared" si="0"/>
        <v>22.599999999999998</v>
      </c>
      <c r="J20" s="84">
        <v>258.5</v>
      </c>
      <c r="K20" s="84">
        <v>146.7</v>
      </c>
      <c r="L20" s="84">
        <v>11.36</v>
      </c>
      <c r="N20" s="107">
        <f>AVERAGE($E14:$E20)*'Assumptions and Rations'!G$28+AVERAGE($F14:$F20)*'Assumptions and Rations'!G$31+AVERAGE($G14:$G20)*'Assumptions and Rations'!G$29+AVERAGE($I14:$I20)*'Assumptions and Rations'!G$30+'Prices and Spreads'!J$11</f>
        <v>177.83648648397866</v>
      </c>
      <c r="O20" s="107">
        <f>AVERAGE($E16:$E20)*'Assumptions and Rations'!H$28+AVERAGE($F16:$F20)*'Assumptions and Rations'!H$31+AVERAGE($G16:$G20)*'Assumptions and Rations'!H$29+AVERAGE($I16:$I20)*'Assumptions and Rations'!H$30+'Prices and Spreads'!K$11</f>
        <v>158.52498316267096</v>
      </c>
      <c r="P20" s="107">
        <f>N20*0.5*$L13/100*7/12+'Prices and Spreads'!J$15*'Prices and Spreads'!J$7+'Prices and Spreads'!J$14+'Prices and Spreads'!J$12+'Prices and Spreads'!J$13*'Historic Prices'!B13*'Prices and Spreads'!J$4/100</f>
        <v>147.45132218286264</v>
      </c>
      <c r="Q20" s="107">
        <f>O20*0.5*$L15/100*5/12+'Prices and Spreads'!K$15*'Prices and Spreads'!K$7+'Prices and Spreads'!K$14+'Prices and Spreads'!K$12+'Prices and Spreads'!K$13*'Historic Prices'!D15*'Prices and Spreads'!K$4/100</f>
        <v>120.47942508692132</v>
      </c>
    </row>
    <row r="21" spans="1:17" ht="15">
      <c r="A21" s="93">
        <v>32964</v>
      </c>
      <c r="B21" s="84">
        <v>99.57</v>
      </c>
      <c r="C21" s="84">
        <v>84.49</v>
      </c>
      <c r="D21" s="84">
        <v>79.84</v>
      </c>
      <c r="E21" s="84">
        <v>2.45</v>
      </c>
      <c r="F21" s="84">
        <f>2000/56*E21*'Cattle Returns'!C$5*'Cattle Returns'!C$4</f>
        <v>31.500000000000007</v>
      </c>
      <c r="G21" s="84">
        <v>60</v>
      </c>
      <c r="H21" s="84">
        <v>300</v>
      </c>
      <c r="I21" s="84">
        <f t="shared" si="0"/>
        <v>24.5</v>
      </c>
      <c r="J21" s="84">
        <v>258.5</v>
      </c>
      <c r="K21" s="84">
        <v>146.7</v>
      </c>
      <c r="L21" s="84">
        <v>11.36</v>
      </c>
      <c r="N21" s="107">
        <f>AVERAGE($E15:$E21)*'Assumptions and Rations'!G$28+AVERAGE($F15:$F21)*'Assumptions and Rations'!G$31+AVERAGE($G15:$G21)*'Assumptions and Rations'!G$29+AVERAGE($I15:$I21)*'Assumptions and Rations'!G$30+'Prices and Spreads'!J$11</f>
        <v>180.82452030869254</v>
      </c>
      <c r="O21" s="107">
        <f>AVERAGE($E17:$E21)*'Assumptions and Rations'!H$28+AVERAGE($F17:$F21)*'Assumptions and Rations'!H$31+AVERAGE($G17:$G21)*'Assumptions and Rations'!H$29+AVERAGE($I17:$I21)*'Assumptions and Rations'!H$30+'Prices and Spreads'!K$11</f>
        <v>162.04174704043587</v>
      </c>
      <c r="P21" s="107">
        <f>N21*0.5*$L14/100*7/12+'Prices and Spreads'!J$15*'Prices and Spreads'!J$7+'Prices and Spreads'!J$14+'Prices and Spreads'!J$12+'Prices and Spreads'!J$13*'Historic Prices'!B14*'Prices and Spreads'!J$4/100</f>
        <v>147.2769064082969</v>
      </c>
      <c r="Q21" s="107">
        <f>O21*0.5*$L16/100*5/12+'Prices and Spreads'!K$15*'Prices and Spreads'!K$7+'Prices and Spreads'!K$14+'Prices and Spreads'!K$12+'Prices and Spreads'!K$13*'Historic Prices'!D16*'Prices and Spreads'!K$4/100</f>
        <v>120.57112870861737</v>
      </c>
    </row>
    <row r="22" spans="1:17" ht="15">
      <c r="A22" s="93">
        <v>32994</v>
      </c>
      <c r="B22" s="84">
        <v>100.94</v>
      </c>
      <c r="C22" s="84">
        <v>86.8</v>
      </c>
      <c r="D22" s="84">
        <v>78.26</v>
      </c>
      <c r="E22" s="84">
        <v>2.59</v>
      </c>
      <c r="F22" s="84">
        <f>2000/56*E22*'Cattle Returns'!C$5*'Cattle Returns'!C$4</f>
        <v>33.300000000000004</v>
      </c>
      <c r="G22" s="84">
        <v>60</v>
      </c>
      <c r="H22" s="84">
        <v>300</v>
      </c>
      <c r="I22" s="84">
        <f t="shared" si="0"/>
        <v>25.9</v>
      </c>
      <c r="J22" s="84">
        <v>270.6</v>
      </c>
      <c r="K22" s="84">
        <v>146.7</v>
      </c>
      <c r="L22" s="84">
        <v>11.36</v>
      </c>
      <c r="N22" s="107">
        <f>AVERAGE($E16:$E22)*'Assumptions and Rations'!G$28+AVERAGE($F16:$F22)*'Assumptions and Rations'!G$31+AVERAGE($G16:$G22)*'Assumptions and Rations'!G$29+AVERAGE($I16:$I22)*'Assumptions and Rations'!G$30+'Prices and Spreads'!J$11</f>
        <v>185.80457668321569</v>
      </c>
      <c r="O22" s="107">
        <f>AVERAGE($E18:$E22)*'Assumptions and Rations'!H$28+AVERAGE($F18:$F22)*'Assumptions and Rations'!H$31+AVERAGE($G18:$G22)*'Assumptions and Rations'!H$29+AVERAGE($I18:$I22)*'Assumptions and Rations'!H$30+'Prices and Spreads'!K$11</f>
        <v>167.44249156700351</v>
      </c>
      <c r="P22" s="107">
        <f>N22*0.5*$L15/100*7/12+'Prices and Spreads'!J$15*'Prices and Spreads'!J$7+'Prices and Spreads'!J$14+'Prices and Spreads'!J$12+'Prices and Spreads'!J$13*'Historic Prices'!B15*'Prices and Spreads'!J$4/100</f>
        <v>147.5232589049678</v>
      </c>
      <c r="Q22" s="107">
        <f>O22*0.5*$L17/100*5/12+'Prices and Spreads'!K$15*'Prices and Spreads'!K$7+'Prices and Spreads'!K$14+'Prices and Spreads'!K$12+'Prices and Spreads'!K$13*'Historic Prices'!D17*'Prices and Spreads'!K$4/100</f>
        <v>120.8466559395763</v>
      </c>
    </row>
    <row r="23" spans="1:17" ht="15">
      <c r="A23" s="93">
        <v>33025</v>
      </c>
      <c r="B23" s="84">
        <v>100.46</v>
      </c>
      <c r="C23" s="84">
        <v>90.39</v>
      </c>
      <c r="D23" s="84">
        <v>76.2</v>
      </c>
      <c r="E23" s="84">
        <v>2.62</v>
      </c>
      <c r="F23" s="84">
        <f>2000/56*E23*'Cattle Returns'!C$5*'Cattle Returns'!C$4</f>
        <v>33.68571428571429</v>
      </c>
      <c r="G23" s="84">
        <v>60</v>
      </c>
      <c r="H23" s="84">
        <v>300</v>
      </c>
      <c r="I23" s="84">
        <f t="shared" si="0"/>
        <v>26.200000000000003</v>
      </c>
      <c r="J23" s="84">
        <v>267</v>
      </c>
      <c r="K23" s="84">
        <v>146.7</v>
      </c>
      <c r="L23" s="84">
        <v>11.36</v>
      </c>
      <c r="N23" s="107">
        <f>AVERAGE($E17:$E23)*'Assumptions and Rations'!G$28+AVERAGE($F17:$F23)*'Assumptions and Rations'!G$31+AVERAGE($G17:$G23)*'Assumptions and Rations'!G$29+AVERAGE($I17:$I23)*'Assumptions and Rations'!G$30+'Prices and Spreads'!J$11</f>
        <v>190.28662742028652</v>
      </c>
      <c r="O23" s="107">
        <f>AVERAGE($E19:$E23)*'Assumptions and Rations'!H$28+AVERAGE($F19:$F23)*'Assumptions and Rations'!H$31+AVERAGE($G19:$G23)*'Assumptions and Rations'!H$29+AVERAGE($I19:$I23)*'Assumptions and Rations'!H$30+'Prices and Spreads'!K$11</f>
        <v>173.471229643172</v>
      </c>
      <c r="P23" s="107">
        <f>N23*0.5*$L16/100*7/12+'Prices and Spreads'!J$15*'Prices and Spreads'!J$7+'Prices and Spreads'!J$14+'Prices and Spreads'!J$12+'Prices and Spreads'!J$13*'Historic Prices'!B16*'Prices and Spreads'!J$4/100</f>
        <v>147.42269098916663</v>
      </c>
      <c r="Q23" s="107">
        <f>O23*0.5*$L18/100*5/12+'Prices and Spreads'!K$15*'Prices and Spreads'!K$7+'Prices and Spreads'!K$14+'Prices and Spreads'!K$12+'Prices and Spreads'!K$13*'Historic Prices'!D18*'Prices and Spreads'!K$4/100</f>
        <v>120.92933993488839</v>
      </c>
    </row>
    <row r="24" spans="1:17" ht="15">
      <c r="A24" s="93">
        <v>33055</v>
      </c>
      <c r="B24" s="84">
        <v>98.57</v>
      </c>
      <c r="C24" s="84">
        <v>90.02</v>
      </c>
      <c r="D24" s="84">
        <v>75.74</v>
      </c>
      <c r="E24" s="84">
        <v>2.52</v>
      </c>
      <c r="F24" s="84">
        <f>2000/56*E24*'Cattle Returns'!C$5*'Cattle Returns'!C$4</f>
        <v>32.4</v>
      </c>
      <c r="G24" s="84">
        <v>60</v>
      </c>
      <c r="H24" s="84">
        <v>300</v>
      </c>
      <c r="I24" s="84">
        <f t="shared" si="0"/>
        <v>25.2</v>
      </c>
      <c r="J24" s="84">
        <v>267</v>
      </c>
      <c r="K24" s="84">
        <v>146.85</v>
      </c>
      <c r="L24" s="84">
        <v>11.36</v>
      </c>
      <c r="N24" s="107">
        <f>AVERAGE($E18:$E24)*'Assumptions and Rations'!G$28+AVERAGE($F18:$F24)*'Assumptions and Rations'!G$31+AVERAGE($G18:$G24)*'Assumptions and Rations'!G$29+AVERAGE($I18:$I24)*'Assumptions and Rations'!G$30+'Prices and Spreads'!J$11</f>
        <v>193.87226800994313</v>
      </c>
      <c r="O24" s="107">
        <f>AVERAGE($E20:$E24)*'Assumptions and Rations'!H$28+AVERAGE($F20:$F24)*'Assumptions and Rations'!H$31+AVERAGE($G20:$G24)*'Assumptions and Rations'!H$29+AVERAGE($I20:$I24)*'Assumptions and Rations'!H$30+'Prices and Spreads'!K$11</f>
        <v>177.86718449037812</v>
      </c>
      <c r="P24" s="107">
        <f>N24*0.5*$L17/100*7/12+'Prices and Spreads'!J$15*'Prices and Spreads'!J$7+'Prices and Spreads'!J$14+'Prices and Spreads'!J$12+'Prices and Spreads'!J$13*'Historic Prices'!B17*'Prices and Spreads'!J$4/100</f>
        <v>147.41684419249177</v>
      </c>
      <c r="Q24" s="107">
        <f>O24*0.5*$L19/100*5/12+'Prices and Spreads'!K$15*'Prices and Spreads'!K$7+'Prices and Spreads'!K$14+'Prices and Spreads'!K$12+'Prices and Spreads'!K$13*'Historic Prices'!D19*'Prices and Spreads'!K$4/100</f>
        <v>121.03787753293894</v>
      </c>
    </row>
    <row r="25" spans="1:17" ht="15">
      <c r="A25" s="93">
        <v>33086</v>
      </c>
      <c r="B25" s="84">
        <v>102.77</v>
      </c>
      <c r="C25" s="84">
        <v>91.54</v>
      </c>
      <c r="D25" s="84">
        <v>76.72</v>
      </c>
      <c r="E25" s="84">
        <v>2.34</v>
      </c>
      <c r="F25" s="84">
        <f>2000/56*E25*'Cattle Returns'!C$5*'Cattle Returns'!C$4</f>
        <v>30.085714285714285</v>
      </c>
      <c r="G25" s="84">
        <v>60</v>
      </c>
      <c r="H25" s="84">
        <v>300</v>
      </c>
      <c r="I25" s="84">
        <f t="shared" si="0"/>
        <v>23.4</v>
      </c>
      <c r="J25" s="84">
        <v>267</v>
      </c>
      <c r="K25" s="84">
        <v>147.6</v>
      </c>
      <c r="L25" s="84">
        <v>11.36</v>
      </c>
      <c r="N25" s="107">
        <f>AVERAGE($E19:$E25)*'Assumptions and Rations'!G$28+AVERAGE($F19:$F25)*'Assumptions and Rations'!G$31+AVERAGE($G19:$G25)*'Assumptions and Rations'!G$29+AVERAGE($I19:$I25)*'Assumptions and Rations'!G$30+'Prices and Spreads'!J$11</f>
        <v>195.8642905597524</v>
      </c>
      <c r="O25" s="107">
        <f>AVERAGE($E21:$E25)*'Assumptions and Rations'!H$28+AVERAGE($F21:$F25)*'Assumptions and Rations'!H$31+AVERAGE($G21:$G25)*'Assumptions and Rations'!H$29+AVERAGE($I21:$I25)*'Assumptions and Rations'!H$30+'Prices and Spreads'!K$11</f>
        <v>178.87197416973956</v>
      </c>
      <c r="P25" s="107">
        <f>N25*0.5*$L18/100*7/12+'Prices and Spreads'!J$15*'Prices and Spreads'!J$7+'Prices and Spreads'!J$14+'Prices and Spreads'!J$12+'Prices and Spreads'!J$13*'Historic Prices'!B18*'Prices and Spreads'!J$4/100</f>
        <v>147.40574644259775</v>
      </c>
      <c r="Q25" s="107">
        <f>O25*0.5*$L20/100*5/12+'Prices and Spreads'!K$15*'Prices and Spreads'!K$7+'Prices and Spreads'!K$14+'Prices and Spreads'!K$12+'Prices and Spreads'!K$13*'Historic Prices'!D20*'Prices and Spreads'!K$4/100</f>
        <v>121.08640755535049</v>
      </c>
    </row>
    <row r="26" spans="1:17" ht="15">
      <c r="A26" s="93">
        <v>33117</v>
      </c>
      <c r="B26" s="84">
        <v>98.77</v>
      </c>
      <c r="C26" s="84">
        <v>90.91</v>
      </c>
      <c r="D26" s="84">
        <v>77.32</v>
      </c>
      <c r="E26" s="84">
        <v>2.09</v>
      </c>
      <c r="F26" s="84">
        <f>2000/56*E26*'Cattle Returns'!C$5*'Cattle Returns'!C$4</f>
        <v>26.871428571428574</v>
      </c>
      <c r="G26" s="84">
        <v>60</v>
      </c>
      <c r="H26" s="84">
        <v>300</v>
      </c>
      <c r="I26" s="84">
        <f t="shared" si="0"/>
        <v>20.9</v>
      </c>
      <c r="J26" s="84">
        <v>266</v>
      </c>
      <c r="K26" s="84">
        <v>148.6</v>
      </c>
      <c r="L26" s="84">
        <v>11.36</v>
      </c>
      <c r="N26" s="107">
        <f>AVERAGE($E20:$E26)*'Assumptions and Rations'!G$28+AVERAGE($F20:$F26)*'Assumptions and Rations'!G$31+AVERAGE($G20:$G26)*'Assumptions and Rations'!G$29+AVERAGE($I20:$I26)*'Assumptions and Rations'!G$30+'Prices and Spreads'!J$11</f>
        <v>195.06748153982866</v>
      </c>
      <c r="O26" s="107">
        <f>AVERAGE($E22:$E26)*'Assumptions and Rations'!H$28+AVERAGE($F22:$F26)*'Assumptions and Rations'!H$31+AVERAGE($G22:$G26)*'Assumptions and Rations'!H$29+AVERAGE($I22:$I26)*'Assumptions and Rations'!H$30+'Prices and Spreads'!K$11</f>
        <v>174.35042061261322</v>
      </c>
      <c r="P26" s="107">
        <f>N26*0.5*$L19/100*7/12+'Prices and Spreads'!J$15*'Prices and Spreads'!J$7+'Prices and Spreads'!J$14+'Prices and Spreads'!J$12+'Prices and Spreads'!J$13*'Historic Prices'!B19*'Prices and Spreads'!J$4/100</f>
        <v>147.5121705037376</v>
      </c>
      <c r="Q26" s="107">
        <f>O26*0.5*$L21/100*5/12+'Prices and Spreads'!K$15*'Prices and Spreads'!K$7+'Prices and Spreads'!K$14+'Prices and Spreads'!K$12+'Prices and Spreads'!K$13*'Historic Prices'!D21*'Prices and Spreads'!K$4/100</f>
        <v>121.0339599544985</v>
      </c>
    </row>
    <row r="27" spans="1:17" ht="15">
      <c r="A27" s="93">
        <v>33147</v>
      </c>
      <c r="B27" s="84">
        <v>95.3</v>
      </c>
      <c r="C27" s="84">
        <v>90.3</v>
      </c>
      <c r="D27" s="84">
        <v>78.62</v>
      </c>
      <c r="E27" s="84">
        <v>2.03</v>
      </c>
      <c r="F27" s="84">
        <f>2000/56*E27*'Cattle Returns'!C$5*'Cattle Returns'!C$4</f>
        <v>26.1</v>
      </c>
      <c r="G27" s="84">
        <v>60</v>
      </c>
      <c r="H27" s="84">
        <v>300</v>
      </c>
      <c r="I27" s="84">
        <f t="shared" si="0"/>
        <v>20.299999999999997</v>
      </c>
      <c r="J27" s="84">
        <v>267.8</v>
      </c>
      <c r="K27" s="84">
        <v>148.6</v>
      </c>
      <c r="L27" s="84">
        <v>11.36</v>
      </c>
      <c r="N27" s="107">
        <f>AVERAGE($E21:$E27)*'Assumptions and Rations'!G$28+AVERAGE($F21:$F27)*'Assumptions and Rations'!G$31+AVERAGE($G21:$G27)*'Assumptions and Rations'!G$29+AVERAGE($I21:$I27)*'Assumptions and Rations'!G$30+'Prices and Spreads'!J$11</f>
        <v>192.77665560754807</v>
      </c>
      <c r="O27" s="107">
        <f>AVERAGE($E23:$E27)*'Assumptions and Rations'!H$28+AVERAGE($F23:$F27)*'Assumptions and Rations'!H$31+AVERAGE($G23:$G27)*'Assumptions and Rations'!H$29+AVERAGE($I23:$I27)*'Assumptions and Rations'!H$30+'Prices and Spreads'!K$11</f>
        <v>167.3168928570833</v>
      </c>
      <c r="P27" s="107">
        <f>N27*0.5*$L20/100*7/12+'Prices and Spreads'!J$15*'Prices and Spreads'!J$7+'Prices and Spreads'!J$14+'Prices and Spreads'!J$12+'Prices and Spreads'!J$13*'Historic Prices'!B20*'Prices and Spreads'!J$4/100</f>
        <v>147.6664428045147</v>
      </c>
      <c r="Q27" s="107">
        <f>O27*0.5*$L22/100*5/12+'Prices and Spreads'!K$15*'Prices and Spreads'!K$7+'Prices and Spreads'!K$14+'Prices and Spreads'!K$12+'Prices and Spreads'!K$13*'Historic Prices'!D22*'Prices and Spreads'!K$4/100</f>
        <v>120.77862479761762</v>
      </c>
    </row>
    <row r="28" spans="1:17" ht="15">
      <c r="A28" s="93">
        <v>33178</v>
      </c>
      <c r="B28" s="84">
        <v>100.35</v>
      </c>
      <c r="C28" s="84">
        <v>92.42</v>
      </c>
      <c r="D28" s="84">
        <v>80.97</v>
      </c>
      <c r="E28" s="84">
        <v>2.06</v>
      </c>
      <c r="F28" s="84">
        <f>2000/56*E28*'Cattle Returns'!C$5*'Cattle Returns'!C$4</f>
        <v>26.485714285714284</v>
      </c>
      <c r="G28" s="84">
        <v>60</v>
      </c>
      <c r="H28" s="84">
        <v>300</v>
      </c>
      <c r="I28" s="84">
        <f t="shared" si="0"/>
        <v>20.6</v>
      </c>
      <c r="J28" s="84">
        <v>260</v>
      </c>
      <c r="K28" s="84">
        <v>148.6</v>
      </c>
      <c r="L28" s="84">
        <v>11.36</v>
      </c>
      <c r="N28" s="107">
        <f>AVERAGE($E22:$E28)*'Assumptions and Rations'!G$28+AVERAGE($F22:$F28)*'Assumptions and Rations'!G$31+AVERAGE($G22:$G28)*'Assumptions and Rations'!G$29+AVERAGE($I22:$I28)*'Assumptions and Rations'!G$30+'Prices and Spreads'!J$11</f>
        <v>188.89221163542</v>
      </c>
      <c r="O28" s="107">
        <f>AVERAGE($E24:$E28)*'Assumptions and Rations'!H$28+AVERAGE($F24:$F28)*'Assumptions and Rations'!H$31+AVERAGE($G24:$G28)*'Assumptions and Rations'!H$29+AVERAGE($I24:$I28)*'Assumptions and Rations'!H$30+'Prices and Spreads'!K$11</f>
        <v>160.28336510155341</v>
      </c>
      <c r="P28" s="107">
        <f>N28*0.5*$L21/100*7/12+'Prices and Spreads'!J$15*'Prices and Spreads'!J$7+'Prices and Spreads'!J$14+'Prices and Spreads'!J$12+'Prices and Spreads'!J$13*'Historic Prices'!B21*'Prices and Spreads'!J$4/100</f>
        <v>147.78853822757154</v>
      </c>
      <c r="Q28" s="107">
        <f>O28*0.5*$L23/100*5/12+'Prices and Spreads'!K$15*'Prices and Spreads'!K$7+'Prices and Spreads'!K$14+'Prices and Spreads'!K$12+'Prices and Spreads'!K$13*'Historic Prices'!D23*'Prices and Spreads'!K$4/100</f>
        <v>120.49628964073675</v>
      </c>
    </row>
    <row r="29" spans="1:17" ht="15">
      <c r="A29" s="93">
        <v>33208</v>
      </c>
      <c r="B29" s="84">
        <v>102.17</v>
      </c>
      <c r="C29" s="84">
        <v>93.19</v>
      </c>
      <c r="D29" s="84">
        <v>81.53</v>
      </c>
      <c r="E29" s="84">
        <v>2.11</v>
      </c>
      <c r="F29" s="84">
        <f>2000/56*E29*'Cattle Returns'!C$5*'Cattle Returns'!C$4</f>
        <v>27.128571428571433</v>
      </c>
      <c r="G29" s="84">
        <v>60</v>
      </c>
      <c r="H29" s="84">
        <v>300</v>
      </c>
      <c r="I29" s="84">
        <f t="shared" si="0"/>
        <v>21.099999999999998</v>
      </c>
      <c r="J29" s="84">
        <v>276.8</v>
      </c>
      <c r="K29" s="84">
        <v>163.6</v>
      </c>
      <c r="L29" s="84">
        <v>11.36</v>
      </c>
      <c r="N29" s="107">
        <f>AVERAGE($E23:$E29)*'Assumptions and Rations'!G$28+AVERAGE($F23:$F29)*'Assumptions and Rations'!G$31+AVERAGE($G23:$G29)*'Assumptions and Rations'!G$29+AVERAGE($I23:$I29)*'Assumptions and Rations'!G$30+'Prices and Spreads'!J$11</f>
        <v>184.1113575158778</v>
      </c>
      <c r="O29" s="107">
        <f>AVERAGE($E25:$E29)*'Assumptions and Rations'!H$28+AVERAGE($F25:$F29)*'Assumptions and Rations'!H$31+AVERAGE($G25:$G29)*'Assumptions and Rations'!H$29+AVERAGE($I25:$I29)*'Assumptions and Rations'!H$30+'Prices and Spreads'!K$11</f>
        <v>155.13381799482616</v>
      </c>
      <c r="P29" s="107">
        <f>N29*0.5*$L22/100*7/12+'Prices and Spreads'!J$15*'Prices and Spreads'!J$7+'Prices and Spreads'!J$14+'Prices and Spreads'!J$12+'Prices and Spreads'!J$13*'Historic Prices'!B22*'Prices and Spreads'!J$4/100</f>
        <v>147.7431575944107</v>
      </c>
      <c r="Q29" s="107">
        <f>O29*0.5*$L24/100*5/12+'Prices and Spreads'!K$15*'Prices and Spreads'!K$7+'Prices and Spreads'!K$14+'Prices and Spreads'!K$12+'Prices and Spreads'!K$13*'Historic Prices'!D24*'Prices and Spreads'!K$4/100</f>
        <v>120.34854202587753</v>
      </c>
    </row>
    <row r="30" spans="1:17" ht="15">
      <c r="A30" s="93">
        <v>33239</v>
      </c>
      <c r="B30" s="84">
        <v>101.53</v>
      </c>
      <c r="C30" s="84">
        <v>90.13</v>
      </c>
      <c r="D30" s="84">
        <v>79.46</v>
      </c>
      <c r="E30" s="84">
        <v>2.13</v>
      </c>
      <c r="F30" s="84">
        <f>2000/56*E30*'Cattle Returns'!C$5*'Cattle Returns'!C$4</f>
        <v>27.385714285714286</v>
      </c>
      <c r="G30" s="84">
        <v>60</v>
      </c>
      <c r="H30" s="84">
        <v>300</v>
      </c>
      <c r="I30" s="84">
        <f t="shared" si="0"/>
        <v>21.299999999999997</v>
      </c>
      <c r="J30" s="84">
        <v>270.5</v>
      </c>
      <c r="K30" s="84">
        <v>167.28</v>
      </c>
      <c r="L30" s="84">
        <v>11.24</v>
      </c>
      <c r="N30" s="107">
        <f>AVERAGE($E24:$E30)*'Assumptions and Rations'!G$28+AVERAGE($F24:$F30)*'Assumptions and Rations'!G$31+AVERAGE($G24:$G30)*'Assumptions and Rations'!G$29+AVERAGE($I24:$I30)*'Assumptions and Rations'!G$30+'Prices and Spreads'!J$11</f>
        <v>179.2309022688451</v>
      </c>
      <c r="O30" s="107">
        <f>AVERAGE($E26:$E30)*'Assumptions and Rations'!H$28+AVERAGE($F26:$F30)*'Assumptions and Rations'!H$31+AVERAGE($G26:$G30)*'Assumptions and Rations'!H$29+AVERAGE($I26:$I30)*'Assumptions and Rations'!H$30+'Prices and Spreads'!K$11</f>
        <v>152.49624508650246</v>
      </c>
      <c r="P30" s="107">
        <f>N30*0.5*$L23/100*7/12+'Prices and Spreads'!J$15*'Prices and Spreads'!J$7+'Prices and Spreads'!J$14+'Prices and Spreads'!J$12+'Prices and Spreads'!J$13*'Historic Prices'!B23*'Prices and Spreads'!J$4/100</f>
        <v>147.54185184389235</v>
      </c>
      <c r="Q30" s="107">
        <f>O30*0.5*$L25/100*5/12+'Prices and Spreads'!K$15*'Prices and Spreads'!K$7+'Prices and Spreads'!K$14+'Prices and Spreads'!K$12+'Prices and Spreads'!K$13*'Historic Prices'!D25*'Prices and Spreads'!K$4/100</f>
        <v>120.34124446704722</v>
      </c>
    </row>
    <row r="31" spans="1:17" ht="15">
      <c r="A31" s="93">
        <v>33270</v>
      </c>
      <c r="B31" s="84">
        <v>104.88</v>
      </c>
      <c r="C31" s="84">
        <v>90.31</v>
      </c>
      <c r="D31" s="84">
        <v>80.15</v>
      </c>
      <c r="E31" s="84">
        <v>2.19</v>
      </c>
      <c r="F31" s="84">
        <f>2000/56*E31*'Cattle Returns'!C$5*'Cattle Returns'!C$4</f>
        <v>28.15714285714286</v>
      </c>
      <c r="G31" s="84">
        <v>60</v>
      </c>
      <c r="H31" s="84">
        <v>300</v>
      </c>
      <c r="I31" s="84">
        <f t="shared" si="0"/>
        <v>21.9</v>
      </c>
      <c r="J31" s="84">
        <v>275</v>
      </c>
      <c r="K31" s="84">
        <v>168.5</v>
      </c>
      <c r="L31" s="84">
        <v>10.73</v>
      </c>
      <c r="N31" s="107">
        <f>AVERAGE($E25:$E31)*'Assumptions and Rations'!G$28+AVERAGE($F25:$F31)*'Assumptions and Rations'!G$31+AVERAGE($G25:$G31)*'Assumptions and Rations'!G$29+AVERAGE($I25:$I31)*'Assumptions and Rations'!G$30+'Prices and Spreads'!J$11</f>
        <v>175.94406506165984</v>
      </c>
      <c r="O31" s="107">
        <f>AVERAGE($E27:$E31)*'Assumptions and Rations'!H$28+AVERAGE($F27:$F31)*'Assumptions and Rations'!H$31+AVERAGE($G27:$G31)*'Assumptions and Rations'!H$29+AVERAGE($I27:$I31)*'Assumptions and Rations'!H$30+'Prices and Spreads'!K$11</f>
        <v>153.75223218570423</v>
      </c>
      <c r="P31" s="107">
        <f>N31*0.5*$L24/100*7/12+'Prices and Spreads'!J$15*'Prices and Spreads'!J$7+'Prices and Spreads'!J$14+'Prices and Spreads'!J$12+'Prices and Spreads'!J$13*'Historic Prices'!B24*'Prices and Spreads'!J$4/100</f>
        <v>147.27702297109428</v>
      </c>
      <c r="Q31" s="107">
        <f>O31*0.5*$L26/100*5/12+'Prices and Spreads'!K$15*'Prices and Spreads'!K$7+'Prices and Spreads'!K$14+'Prices and Spreads'!K$12+'Prices and Spreads'!K$13*'Historic Prices'!D26*'Prices and Spreads'!K$4/100</f>
        <v>120.40471949506166</v>
      </c>
    </row>
    <row r="32" spans="1:17" ht="15">
      <c r="A32" s="93">
        <v>33298</v>
      </c>
      <c r="B32" s="84">
        <v>105.83</v>
      </c>
      <c r="C32" s="84">
        <v>88.88</v>
      </c>
      <c r="D32" s="84">
        <v>80.8</v>
      </c>
      <c r="E32" s="84">
        <v>2.33</v>
      </c>
      <c r="F32" s="84">
        <f>2000/56*E32*'Cattle Returns'!C$5*'Cattle Returns'!C$4</f>
        <v>29.957142857142863</v>
      </c>
      <c r="G32" s="84">
        <v>60</v>
      </c>
      <c r="H32" s="84">
        <v>300</v>
      </c>
      <c r="I32" s="84">
        <f t="shared" si="0"/>
        <v>23.3</v>
      </c>
      <c r="J32" s="84">
        <v>280</v>
      </c>
      <c r="K32" s="84">
        <v>168.5</v>
      </c>
      <c r="L32" s="84">
        <v>10.73</v>
      </c>
      <c r="N32" s="107">
        <f>AVERAGE($E26:$E32)*'Assumptions and Rations'!G$28+AVERAGE($F26:$F32)*'Assumptions and Rations'!G$31+AVERAGE($G26:$G32)*'Assumptions and Rations'!G$29+AVERAGE($I26:$I32)*'Assumptions and Rations'!G$30+'Prices and Spreads'!J$11</f>
        <v>175.8444639341694</v>
      </c>
      <c r="O32" s="107">
        <f>AVERAGE($E28:$E32)*'Assumptions and Rations'!H$28+AVERAGE($F28:$F32)*'Assumptions and Rations'!H$31+AVERAGE($G28:$G32)*'Assumptions and Rations'!H$29+AVERAGE($I28:$I32)*'Assumptions and Rations'!H$30+'Prices and Spreads'!K$11</f>
        <v>157.52019348330955</v>
      </c>
      <c r="P32" s="107">
        <f>N32*0.5*$L25/100*7/12+'Prices and Spreads'!J$15*'Prices and Spreads'!J$7+'Prices and Spreads'!J$14+'Prices and Spreads'!J$12+'Prices and Spreads'!J$13*'Historic Prices'!B25*'Prices and Spreads'!J$4/100</f>
        <v>147.62022285373675</v>
      </c>
      <c r="Q32" s="107">
        <f>O32*0.5*$L27/100*5/12+'Prices and Spreads'!K$15*'Prices and Spreads'!K$7+'Prices and Spreads'!K$14+'Prices and Spreads'!K$12+'Prices and Spreads'!K$13*'Historic Prices'!D27*'Prices and Spreads'!K$4/100</f>
        <v>120.56701957910498</v>
      </c>
    </row>
    <row r="33" spans="1:17" ht="15">
      <c r="A33" s="93">
        <v>33329</v>
      </c>
      <c r="B33" s="84">
        <v>108.7</v>
      </c>
      <c r="C33" s="84">
        <v>89.71</v>
      </c>
      <c r="D33" s="84">
        <v>80.75</v>
      </c>
      <c r="E33" s="84">
        <v>2.4</v>
      </c>
      <c r="F33" s="84">
        <f>2000/56*E33*'Cattle Returns'!C$5*'Cattle Returns'!C$4</f>
        <v>30.857142857142858</v>
      </c>
      <c r="G33" s="84">
        <v>60</v>
      </c>
      <c r="H33" s="84">
        <v>300</v>
      </c>
      <c r="I33" s="84">
        <f t="shared" si="0"/>
        <v>24</v>
      </c>
      <c r="J33" s="84">
        <v>281</v>
      </c>
      <c r="K33" s="84">
        <v>170</v>
      </c>
      <c r="L33" s="84">
        <v>10.73</v>
      </c>
      <c r="N33" s="107">
        <f>AVERAGE($E27:$E33)*'Assumptions and Rations'!G$28+AVERAGE($F27:$F33)*'Assumptions and Rations'!G$31+AVERAGE($G27:$G33)*'Assumptions and Rations'!G$29+AVERAGE($I27:$I33)*'Assumptions and Rations'!G$30+'Prices and Spreads'!J$11</f>
        <v>178.93209888637375</v>
      </c>
      <c r="O33" s="107">
        <f>AVERAGE($E29:$E33)*'Assumptions and Rations'!H$28+AVERAGE($F29:$F33)*'Assumptions and Rations'!H$31+AVERAGE($G29:$G33)*'Assumptions and Rations'!H$29+AVERAGE($I29:$I33)*'Assumptions and Rations'!H$30+'Prices and Spreads'!K$11</f>
        <v>161.79054962059553</v>
      </c>
      <c r="P33" s="107">
        <f>N33*0.5*$L26/100*7/12+'Prices and Spreads'!J$15*'Prices and Spreads'!J$7+'Prices and Spreads'!J$14+'Prices and Spreads'!J$12+'Prices and Spreads'!J$13*'Historic Prices'!B26*'Prices and Spreads'!J$4/100</f>
        <v>147.3925264918198</v>
      </c>
      <c r="Q33" s="107">
        <f>O33*0.5*$L28/100*5/12+'Prices and Spreads'!K$15*'Prices and Spreads'!K$7+'Prices and Spreads'!K$14+'Prices and Spreads'!K$12+'Prices and Spreads'!K$13*'Historic Prices'!D28*'Prices and Spreads'!K$4/100</f>
        <v>120.80027217435409</v>
      </c>
    </row>
    <row r="34" spans="1:17" ht="15">
      <c r="A34" s="93">
        <v>33359</v>
      </c>
      <c r="B34" s="84">
        <v>105.54</v>
      </c>
      <c r="C34" s="84">
        <v>89.66</v>
      </c>
      <c r="D34" s="84">
        <v>78.28</v>
      </c>
      <c r="E34" s="84">
        <v>2.29</v>
      </c>
      <c r="F34" s="84">
        <f>2000/56*E34*'Cattle Returns'!C$5*'Cattle Returns'!C$4</f>
        <v>29.442857142857147</v>
      </c>
      <c r="G34" s="84">
        <v>60</v>
      </c>
      <c r="H34" s="84">
        <v>300</v>
      </c>
      <c r="I34" s="84">
        <f t="shared" si="0"/>
        <v>22.9</v>
      </c>
      <c r="J34" s="84">
        <v>282</v>
      </c>
      <c r="K34" s="84">
        <v>172.5</v>
      </c>
      <c r="L34" s="84">
        <v>10.4</v>
      </c>
      <c r="N34" s="107">
        <f>AVERAGE($E28:$E34)*'Assumptions and Rations'!G$28+AVERAGE($F28:$F34)*'Assumptions and Rations'!G$31+AVERAGE($G28:$G34)*'Assumptions and Rations'!G$29+AVERAGE($I28:$I34)*'Assumptions and Rations'!G$30+'Prices and Spreads'!J$11</f>
        <v>181.52172820112577</v>
      </c>
      <c r="O34" s="107">
        <f>AVERAGE($E30:$E34)*'Assumptions and Rations'!H$28+AVERAGE($F30:$F34)*'Assumptions and Rations'!H$31+AVERAGE($G30:$G34)*'Assumptions and Rations'!H$29+AVERAGE($I30:$I34)*'Assumptions and Rations'!H$30+'Prices and Spreads'!K$11</f>
        <v>164.0513263991587</v>
      </c>
      <c r="P34" s="107">
        <f>N34*0.5*$L27/100*7/12+'Prices and Spreads'!J$15*'Prices and Spreads'!J$7+'Prices and Spreads'!J$14+'Prices and Spreads'!J$12+'Prices and Spreads'!J$13*'Historic Prices'!B27*'Prices and Spreads'!J$4/100</f>
        <v>147.19205454311523</v>
      </c>
      <c r="Q34" s="107">
        <f>O34*0.5*$L29/100*5/12+'Prices and Spreads'!K$15*'Prices and Spreads'!K$7+'Prices and Spreads'!K$14+'Prices and Spreads'!K$12+'Prices and Spreads'!K$13*'Historic Prices'!D29*'Prices and Spreads'!K$4/100</f>
        <v>120.88527722478008</v>
      </c>
    </row>
    <row r="35" spans="1:17" ht="15">
      <c r="A35" s="93">
        <v>33390</v>
      </c>
      <c r="B35" s="84">
        <v>107.81</v>
      </c>
      <c r="C35" s="84">
        <v>91.81</v>
      </c>
      <c r="D35" s="84">
        <v>74.35</v>
      </c>
      <c r="E35" s="84">
        <v>2.25</v>
      </c>
      <c r="F35" s="84">
        <f>2000/56*E35*'Cattle Returns'!C$5*'Cattle Returns'!C$4</f>
        <v>28.928571428571434</v>
      </c>
      <c r="G35" s="84">
        <v>60</v>
      </c>
      <c r="H35" s="84">
        <v>300</v>
      </c>
      <c r="I35" s="84">
        <f t="shared" si="0"/>
        <v>22.5</v>
      </c>
      <c r="J35" s="84">
        <v>282.4</v>
      </c>
      <c r="K35" s="84">
        <v>162.2</v>
      </c>
      <c r="L35" s="84">
        <v>10.4</v>
      </c>
      <c r="N35" s="107">
        <f>AVERAGE($E29:$E35)*'Assumptions and Rations'!G$28+AVERAGE($F29:$F35)*'Assumptions and Rations'!G$31+AVERAGE($G29:$G35)*'Assumptions and Rations'!G$29+AVERAGE($I29:$I35)*'Assumptions and Rations'!G$30+'Prices and Spreads'!J$11</f>
        <v>183.4141496234446</v>
      </c>
      <c r="O35" s="107">
        <f>AVERAGE($E31:$E35)*'Assumptions and Rations'!H$28+AVERAGE($F31:$F35)*'Assumptions and Rations'!H$31+AVERAGE($G31:$G35)*'Assumptions and Rations'!H$29+AVERAGE($I31:$I35)*'Assumptions and Rations'!H$30+'Prices and Spreads'!K$11</f>
        <v>165.55851091820085</v>
      </c>
      <c r="P35" s="107">
        <f>N35*0.5*$L28/100*7/12+'Prices and Spreads'!J$15*'Prices and Spreads'!J$7+'Prices and Spreads'!J$14+'Prices and Spreads'!J$12+'Prices and Spreads'!J$13*'Historic Prices'!B28*'Prices and Spreads'!J$4/100</f>
        <v>147.67138177290806</v>
      </c>
      <c r="Q35" s="107">
        <f>O35*0.5*$L30/100*5/12+'Prices and Spreads'!K$15*'Prices and Spreads'!K$7+'Prices and Spreads'!K$14+'Prices and Spreads'!K$12+'Prices and Spreads'!K$13*'Historic Prices'!D30*'Prices and Spreads'!K$4/100</f>
        <v>120.76312013066786</v>
      </c>
    </row>
    <row r="36" spans="1:17" ht="15">
      <c r="A36" s="93">
        <v>33420</v>
      </c>
      <c r="B36" s="84">
        <v>104.36</v>
      </c>
      <c r="C36" s="84">
        <v>91.15</v>
      </c>
      <c r="D36" s="84">
        <v>72.05</v>
      </c>
      <c r="E36" s="84">
        <v>2.19</v>
      </c>
      <c r="F36" s="84">
        <f>2000/56*E36*'Cattle Returns'!C$5*'Cattle Returns'!C$4</f>
        <v>28.15714285714286</v>
      </c>
      <c r="G36" s="84">
        <v>60</v>
      </c>
      <c r="H36" s="84">
        <v>300</v>
      </c>
      <c r="I36" s="84">
        <f t="shared" si="0"/>
        <v>21.9</v>
      </c>
      <c r="J36" s="84">
        <v>264.5</v>
      </c>
      <c r="K36" s="84">
        <v>163.2</v>
      </c>
      <c r="L36" s="84">
        <v>10.4</v>
      </c>
      <c r="N36" s="107">
        <f>AVERAGE($E30:$E36)*'Assumptions and Rations'!G$28+AVERAGE($F30:$F36)*'Assumptions and Rations'!G$31+AVERAGE($G30:$G36)*'Assumptions and Rations'!G$29+AVERAGE($I30:$I36)*'Assumptions and Rations'!G$30+'Prices and Spreads'!J$11</f>
        <v>184.21095864336823</v>
      </c>
      <c r="O36" s="107">
        <f>AVERAGE($E32:$E36)*'Assumptions and Rations'!H$28+AVERAGE($F32:$F36)*'Assumptions and Rations'!H$31+AVERAGE($G32:$G36)*'Assumptions and Rations'!H$29+AVERAGE($I32:$I36)*'Assumptions and Rations'!H$30+'Prices and Spreads'!K$11</f>
        <v>165.55851091820082</v>
      </c>
      <c r="P36" s="107">
        <f>N36*0.5*$L29/100*7/12+'Prices and Spreads'!J$15*'Prices and Spreads'!J$7+'Prices and Spreads'!J$14+'Prices and Spreads'!J$12+'Prices and Spreads'!J$13*'Historic Prices'!B29*'Prices and Spreads'!J$4/100</f>
        <v>147.8479327117682</v>
      </c>
      <c r="Q36" s="107">
        <f>O36*0.5*$L31/100*5/12+'Prices and Spreads'!K$15*'Prices and Spreads'!K$7+'Prices and Spreads'!K$14+'Prices and Spreads'!K$12+'Prices and Spreads'!K$13*'Historic Prices'!D31*'Prices and Spreads'!K$4/100</f>
        <v>120.62602671281726</v>
      </c>
    </row>
    <row r="37" spans="1:17" ht="15">
      <c r="A37" s="93">
        <v>33451</v>
      </c>
      <c r="B37" s="84">
        <v>98.13</v>
      </c>
      <c r="C37" s="84">
        <v>86.74</v>
      </c>
      <c r="D37" s="84">
        <v>66.95</v>
      </c>
      <c r="E37" s="84">
        <v>2.27</v>
      </c>
      <c r="F37" s="84">
        <f>2000/56*E37*'Cattle Returns'!C$5*'Cattle Returns'!C$4</f>
        <v>29.185714285714283</v>
      </c>
      <c r="G37" s="84">
        <v>60</v>
      </c>
      <c r="H37" s="84">
        <v>300</v>
      </c>
      <c r="I37" s="84">
        <f t="shared" si="0"/>
        <v>22.7</v>
      </c>
      <c r="J37" s="84">
        <v>276.5</v>
      </c>
      <c r="K37" s="84">
        <v>163.2</v>
      </c>
      <c r="L37" s="84">
        <v>10.4</v>
      </c>
      <c r="N37" s="107">
        <f>AVERAGE($E31:$E37)*'Assumptions and Rations'!G$28+AVERAGE($F31:$F37)*'Assumptions and Rations'!G$31+AVERAGE($G31:$G37)*'Assumptions and Rations'!G$29+AVERAGE($I31:$I37)*'Assumptions and Rations'!G$30+'Prices and Spreads'!J$11</f>
        <v>185.60537442823474</v>
      </c>
      <c r="O37" s="107">
        <f>AVERAGE($E33:$E37)*'Assumptions and Rations'!H$28+AVERAGE($F33:$F37)*'Assumptions and Rations'!H$31+AVERAGE($G33:$G37)*'Assumptions and Rations'!H$29+AVERAGE($I33:$I37)*'Assumptions and Rations'!H$30+'Prices and Spreads'!K$11</f>
        <v>164.80491865867975</v>
      </c>
      <c r="P37" s="107">
        <f>N37*0.5*$L30/100*7/12+'Prices and Spreads'!J$15*'Prices and Spreads'!J$7+'Prices and Spreads'!J$14+'Prices and Spreads'!J$12+'Prices and Spreads'!J$13*'Historic Prices'!B30*'Prices and Spreads'!J$4/100</f>
        <v>147.77637247372357</v>
      </c>
      <c r="Q37" s="107">
        <f>O37*0.5*$L32/100*5/12+'Prices and Spreads'!K$15*'Prices and Spreads'!K$7+'Prices and Spreads'!K$14+'Prices and Spreads'!K$12+'Prices and Spreads'!K$13*'Historic Prices'!D32*'Prices and Spreads'!K$4/100</f>
        <v>120.64574328584924</v>
      </c>
    </row>
    <row r="38" spans="1:17" ht="15">
      <c r="A38" s="93">
        <v>33482</v>
      </c>
      <c r="B38" s="84">
        <v>97.06</v>
      </c>
      <c r="C38" s="84">
        <v>85.52</v>
      </c>
      <c r="D38" s="84">
        <v>67.52</v>
      </c>
      <c r="E38" s="84">
        <v>2.27</v>
      </c>
      <c r="F38" s="84">
        <f>2000/56*E38*'Cattle Returns'!C$5*'Cattle Returns'!C$4</f>
        <v>29.185714285714283</v>
      </c>
      <c r="G38" s="84">
        <v>60</v>
      </c>
      <c r="H38" s="84">
        <v>300</v>
      </c>
      <c r="I38" s="84">
        <f t="shared" si="0"/>
        <v>22.7</v>
      </c>
      <c r="J38" s="84">
        <v>289</v>
      </c>
      <c r="K38" s="84">
        <v>163.2</v>
      </c>
      <c r="L38" s="84">
        <v>10.3</v>
      </c>
      <c r="N38" s="107">
        <f>AVERAGE($E32:$E38)*'Assumptions and Rations'!G$28+AVERAGE($F32:$F38)*'Assumptions and Rations'!G$31+AVERAGE($G32:$G38)*'Assumptions and Rations'!G$29+AVERAGE($I32:$I38)*'Assumptions and Rations'!G$30+'Prices and Spreads'!J$11</f>
        <v>186.4021834481584</v>
      </c>
      <c r="O38" s="107">
        <f>AVERAGE($E34:$E38)*'Assumptions and Rations'!H$28+AVERAGE($F34:$F38)*'Assumptions and Rations'!H$31+AVERAGE($G34:$G38)*'Assumptions and Rations'!H$29+AVERAGE($I34:$I38)*'Assumptions and Rations'!H$30+'Prices and Spreads'!K$11</f>
        <v>163.17213542971749</v>
      </c>
      <c r="P38" s="107">
        <f>N38*0.5*$L31/100*7/12+'Prices and Spreads'!J$15*'Prices and Spreads'!J$7+'Prices and Spreads'!J$14+'Prices and Spreads'!J$12+'Prices and Spreads'!J$13*'Historic Prices'!B31*'Prices and Spreads'!J$4/100</f>
        <v>147.8015962815476</v>
      </c>
      <c r="Q38" s="107">
        <f>O38*0.5*$L33/100*5/12+'Prices and Spreads'!K$15*'Prices and Spreads'!K$7+'Prices and Spreads'!K$14+'Prices and Spreads'!K$12+'Prices and Spreads'!K$13*'Historic Prices'!D33*'Prices and Spreads'!K$4/100</f>
        <v>120.60643127741847</v>
      </c>
    </row>
    <row r="39" spans="1:17" ht="15">
      <c r="A39" s="93">
        <v>33512</v>
      </c>
      <c r="B39" s="84">
        <v>95</v>
      </c>
      <c r="C39" s="84">
        <v>85.69</v>
      </c>
      <c r="D39" s="84">
        <v>68.21</v>
      </c>
      <c r="E39" s="84">
        <v>2.21</v>
      </c>
      <c r="F39" s="84">
        <f>2000/56*E39*'Cattle Returns'!C$5*'Cattle Returns'!C$4</f>
        <v>28.414285714285718</v>
      </c>
      <c r="G39" s="84">
        <v>60</v>
      </c>
      <c r="H39" s="84">
        <v>300</v>
      </c>
      <c r="I39" s="84">
        <f t="shared" si="0"/>
        <v>22.1</v>
      </c>
      <c r="J39" s="84">
        <v>288</v>
      </c>
      <c r="K39" s="84">
        <v>163.2</v>
      </c>
      <c r="L39" s="84">
        <v>10.28</v>
      </c>
      <c r="N39" s="107">
        <f>AVERAGE($E33:$E39)*'Assumptions and Rations'!G$28+AVERAGE($F33:$F39)*'Assumptions and Rations'!G$31+AVERAGE($G33:$G39)*'Assumptions and Rations'!G$29+AVERAGE($I33:$I39)*'Assumptions and Rations'!G$30+'Prices and Spreads'!J$11</f>
        <v>185.2069699182729</v>
      </c>
      <c r="O39" s="107">
        <f>AVERAGE($E35:$E39)*'Assumptions and Rations'!H$28+AVERAGE($F35:$F39)*'Assumptions and Rations'!H$31+AVERAGE($G35:$G39)*'Assumptions and Rations'!H$29+AVERAGE($I35:$I39)*'Assumptions and Rations'!H$30+'Prices and Spreads'!K$11</f>
        <v>162.16734575035608</v>
      </c>
      <c r="P39" s="107">
        <f>N39*0.5*$L32/100*7/12+'Prices and Spreads'!J$15*'Prices and Spreads'!J$7+'Prices and Spreads'!J$14+'Prices and Spreads'!J$12+'Prices and Spreads'!J$13*'Historic Prices'!B32*'Prices and Spreads'!J$4/100</f>
        <v>147.84256607811855</v>
      </c>
      <c r="Q39" s="107">
        <f>O39*0.5*$L34/100*5/12+'Prices and Spreads'!K$15*'Prices and Spreads'!K$7+'Prices and Spreads'!K$14+'Prices and Spreads'!K$12+'Prices and Spreads'!K$13*'Historic Prices'!D34*'Prices and Spreads'!K$4/100</f>
        <v>120.3335424912577</v>
      </c>
    </row>
    <row r="40" spans="1:17" ht="15">
      <c r="A40" s="93">
        <v>33543</v>
      </c>
      <c r="B40" s="84">
        <v>91.27</v>
      </c>
      <c r="C40" s="84">
        <v>85.13</v>
      </c>
      <c r="D40" s="84">
        <v>69.3</v>
      </c>
      <c r="E40" s="84">
        <v>2.24</v>
      </c>
      <c r="F40" s="84">
        <f>2000/56*E40*'Cattle Returns'!C$5*'Cattle Returns'!C$4</f>
        <v>28.800000000000008</v>
      </c>
      <c r="G40" s="84">
        <v>60</v>
      </c>
      <c r="H40" s="84">
        <v>300</v>
      </c>
      <c r="I40" s="84">
        <f t="shared" si="0"/>
        <v>22.400000000000002</v>
      </c>
      <c r="J40" s="84">
        <v>287</v>
      </c>
      <c r="K40" s="84">
        <v>163.2</v>
      </c>
      <c r="L40" s="84">
        <v>9.9</v>
      </c>
      <c r="N40" s="107">
        <f>AVERAGE($E34:$E40)*'Assumptions and Rations'!G$28+AVERAGE($F34:$F40)*'Assumptions and Rations'!G$31+AVERAGE($G34:$G40)*'Assumptions and Rations'!G$29+AVERAGE($I34:$I40)*'Assumptions and Rations'!G$30+'Prices and Spreads'!J$11</f>
        <v>183.6133518784255</v>
      </c>
      <c r="O40" s="107">
        <f>AVERAGE($E36:$E40)*'Assumptions and Rations'!H$28+AVERAGE($F36:$F40)*'Assumptions and Rations'!H$31+AVERAGE($G36:$G40)*'Assumptions and Rations'!H$29+AVERAGE($I36:$I40)*'Assumptions and Rations'!H$30+'Prices and Spreads'!K$11</f>
        <v>162.0417470404359</v>
      </c>
      <c r="P40" s="107">
        <f>N40*0.5*$L33/100*7/12+'Prices and Spreads'!J$15*'Prices and Spreads'!J$7+'Prices and Spreads'!J$14+'Prices and Spreads'!J$12+'Prices and Spreads'!J$13*'Historic Prices'!B33*'Prices and Spreads'!J$4/100</f>
        <v>148.0294674735465</v>
      </c>
      <c r="Q40" s="107">
        <f>O40*0.5*$L35/100*5/12+'Prices and Spreads'!K$15*'Prices and Spreads'!K$7+'Prices and Spreads'!K$14+'Prices and Spreads'!K$12+'Prices and Spreads'!K$13*'Historic Prices'!D35*'Prices and Spreads'!K$4/100</f>
        <v>120.1097586858761</v>
      </c>
    </row>
    <row r="41" spans="1:17" ht="15">
      <c r="A41" s="93">
        <v>33573</v>
      </c>
      <c r="B41" s="84">
        <v>88.19</v>
      </c>
      <c r="C41" s="84">
        <v>81.78</v>
      </c>
      <c r="D41" s="84">
        <v>68.11</v>
      </c>
      <c r="E41" s="84">
        <v>2.25</v>
      </c>
      <c r="F41" s="84">
        <f>2000/56*E41*'Cattle Returns'!C$5*'Cattle Returns'!C$4</f>
        <v>28.928571428571434</v>
      </c>
      <c r="G41" s="84">
        <v>60</v>
      </c>
      <c r="H41" s="84">
        <v>300</v>
      </c>
      <c r="I41" s="84">
        <f t="shared" si="0"/>
        <v>22.5</v>
      </c>
      <c r="J41" s="84">
        <v>281.2</v>
      </c>
      <c r="K41" s="84">
        <v>163.2</v>
      </c>
      <c r="L41" s="84">
        <v>9.52</v>
      </c>
      <c r="N41" s="107">
        <f>AVERAGE($E35:$E41)*'Assumptions and Rations'!G$28+AVERAGE($F35:$F41)*'Assumptions and Rations'!G$31+AVERAGE($G35:$G41)*'Assumptions and Rations'!G$29+AVERAGE($I35:$I41)*'Assumptions and Rations'!G$30+'Prices and Spreads'!J$11</f>
        <v>183.21494736846364</v>
      </c>
      <c r="O41" s="107">
        <f>AVERAGE($E37:$E41)*'Assumptions and Rations'!H$28+AVERAGE($F37:$F41)*'Assumptions and Rations'!H$31+AVERAGE($G37:$G41)*'Assumptions and Rations'!H$29+AVERAGE($I37:$I41)*'Assumptions and Rations'!H$30+'Prices and Spreads'!K$11</f>
        <v>162.79533929995696</v>
      </c>
      <c r="P41" s="107">
        <f>N41*0.5*$L34/100*7/12+'Prices and Spreads'!J$15*'Prices and Spreads'!J$7+'Prices and Spreads'!J$14+'Prices and Spreads'!J$12+'Prices and Spreads'!J$13*'Historic Prices'!B34*'Prices and Spreads'!J$4/100</f>
        <v>147.57995468556135</v>
      </c>
      <c r="Q41" s="107">
        <f>O41*0.5*$L36/100*5/12+'Prices and Spreads'!K$15*'Prices and Spreads'!K$7+'Prices and Spreads'!K$14+'Prices and Spreads'!K$12+'Prices and Spreads'!K$13*'Historic Prices'!D36*'Prices and Spreads'!K$4/100</f>
        <v>119.99671151816572</v>
      </c>
    </row>
    <row r="42" spans="1:17" ht="15">
      <c r="A42" s="93">
        <v>33604</v>
      </c>
      <c r="B42" s="84">
        <v>88.43</v>
      </c>
      <c r="C42" s="84">
        <v>80</v>
      </c>
      <c r="D42" s="84">
        <v>72.32</v>
      </c>
      <c r="E42" s="84">
        <v>2.31</v>
      </c>
      <c r="F42" s="84">
        <f>2000/56*E42*'Cattle Returns'!C$5*'Cattle Returns'!C$4</f>
        <v>29.700000000000003</v>
      </c>
      <c r="G42" s="84">
        <v>60</v>
      </c>
      <c r="H42" s="84">
        <v>300</v>
      </c>
      <c r="I42" s="84">
        <f t="shared" si="0"/>
        <v>23.1</v>
      </c>
      <c r="J42" s="84">
        <v>279</v>
      </c>
      <c r="K42" s="84">
        <v>163.2</v>
      </c>
      <c r="L42" s="84">
        <v>9.27</v>
      </c>
      <c r="N42" s="107">
        <f>AVERAGE($E36:$E42)*'Assumptions and Rations'!G$28+AVERAGE($F36:$F42)*'Assumptions and Rations'!G$31+AVERAGE($G36:$G42)*'Assumptions and Rations'!G$29+AVERAGE($I36:$I42)*'Assumptions and Rations'!G$30+'Prices and Spreads'!J$11</f>
        <v>183.81255413340645</v>
      </c>
      <c r="O42" s="107">
        <f>AVERAGE($E38:$E42)*'Assumptions and Rations'!H$28+AVERAGE($F38:$F42)*'Assumptions and Rations'!H$31+AVERAGE($G38:$G42)*'Assumptions and Rations'!H$29+AVERAGE($I38:$I42)*'Assumptions and Rations'!H$30+'Prices and Spreads'!K$11</f>
        <v>163.29773413963764</v>
      </c>
      <c r="P42" s="107">
        <f>N42*0.5*$L35/100*7/12+'Prices and Spreads'!J$15*'Prices and Spreads'!J$7+'Prices and Spreads'!J$14+'Prices and Spreads'!J$12+'Prices and Spreads'!J$13*'Historic Prices'!B35*'Prices and Spreads'!J$4/100</f>
        <v>147.78535709076462</v>
      </c>
      <c r="Q42" s="107">
        <f>O42*0.5*$L37/100*5/12+'Prices and Spreads'!K$15*'Prices and Spreads'!K$7+'Prices and Spreads'!K$14+'Prices and Spreads'!K$12+'Prices and Spreads'!K$13*'Historic Prices'!D37*'Prices and Spreads'!K$4/100</f>
        <v>119.72072173969215</v>
      </c>
    </row>
    <row r="43" spans="1:17" ht="15">
      <c r="A43" s="93">
        <v>33635</v>
      </c>
      <c r="B43" s="84">
        <v>92.5</v>
      </c>
      <c r="C43" s="84">
        <v>80.9</v>
      </c>
      <c r="D43" s="84">
        <v>76.48</v>
      </c>
      <c r="E43" s="84">
        <v>2.38</v>
      </c>
      <c r="F43" s="84">
        <f>2000/56*E43*'Cattle Returns'!C$5*'Cattle Returns'!C$4</f>
        <v>30.6</v>
      </c>
      <c r="G43" s="84">
        <v>60</v>
      </c>
      <c r="H43" s="84">
        <v>300</v>
      </c>
      <c r="I43" s="84">
        <f t="shared" si="0"/>
        <v>23.799999999999997</v>
      </c>
      <c r="J43" s="84">
        <v>279.4</v>
      </c>
      <c r="K43" s="84">
        <v>163.2</v>
      </c>
      <c r="L43" s="84">
        <v>9.27</v>
      </c>
      <c r="N43" s="107">
        <f>AVERAGE($E37:$E43)*'Assumptions and Rations'!G$28+AVERAGE($F37:$F43)*'Assumptions and Rations'!G$31+AVERAGE($G37:$G43)*'Assumptions and Rations'!G$29+AVERAGE($I37:$I43)*'Assumptions and Rations'!G$30+'Prices and Spreads'!J$11</f>
        <v>185.70497555572518</v>
      </c>
      <c r="O43" s="107">
        <f>AVERAGE($E39:$E43)*'Assumptions and Rations'!H$28+AVERAGE($F39:$F43)*'Assumptions and Rations'!H$31+AVERAGE($G39:$G43)*'Assumptions and Rations'!H$29+AVERAGE($I39:$I43)*'Assumptions and Rations'!H$30+'Prices and Spreads'!K$11</f>
        <v>164.67931994875963</v>
      </c>
      <c r="P43" s="107">
        <f>N43*0.5*$L36/100*7/12+'Prices and Spreads'!J$15*'Prices and Spreads'!J$7+'Prices and Spreads'!J$14+'Prices and Spreads'!J$12+'Prices and Spreads'!J$13*'Historic Prices'!B36*'Prices and Spreads'!J$4/100</f>
        <v>147.55813554057494</v>
      </c>
      <c r="Q43" s="107">
        <f>O43*0.5*$L38/100*5/12+'Prices and Spreads'!K$15*'Prices and Spreads'!K$7+'Prices and Spreads'!K$14+'Prices and Spreads'!K$12+'Prices and Spreads'!K$13*'Historic Prices'!D38*'Prices and Spreads'!K$4/100</f>
        <v>119.74841040723379</v>
      </c>
    </row>
    <row r="44" spans="1:17" ht="15">
      <c r="A44" s="93">
        <v>33664</v>
      </c>
      <c r="B44" s="84">
        <v>94.73</v>
      </c>
      <c r="C44" s="84">
        <v>79.73</v>
      </c>
      <c r="D44" s="84">
        <v>77.25</v>
      </c>
      <c r="E44" s="84">
        <v>2.48</v>
      </c>
      <c r="F44" s="84">
        <f>2000/56*E44*'Cattle Returns'!C$5*'Cattle Returns'!C$4</f>
        <v>31.885714285714286</v>
      </c>
      <c r="G44" s="84">
        <v>60</v>
      </c>
      <c r="H44" s="84">
        <v>300</v>
      </c>
      <c r="I44" s="84">
        <f t="shared" si="0"/>
        <v>24.8</v>
      </c>
      <c r="J44" s="84">
        <v>283.5</v>
      </c>
      <c r="K44" s="84">
        <v>163.2</v>
      </c>
      <c r="L44" s="84">
        <v>9.27</v>
      </c>
      <c r="N44" s="107">
        <f>AVERAGE($E38:$E44)*'Assumptions and Rations'!G$28+AVERAGE($F38:$F44)*'Assumptions and Rations'!G$31+AVERAGE($G38:$G44)*'Assumptions and Rations'!G$29+AVERAGE($I38:$I44)*'Assumptions and Rations'!G$30+'Prices and Spreads'!J$11</f>
        <v>187.79659923302492</v>
      </c>
      <c r="O44" s="107">
        <f>AVERAGE($E40:$E44)*'Assumptions and Rations'!H$28+AVERAGE($F40:$F44)*'Assumptions and Rations'!H$31+AVERAGE($G40:$G44)*'Assumptions and Rations'!H$29+AVERAGE($I40:$I44)*'Assumptions and Rations'!H$30+'Prices and Spreads'!K$11</f>
        <v>168.07048511660435</v>
      </c>
      <c r="P44" s="107">
        <f>N44*0.5*$L37/100*7/12+'Prices and Spreads'!J$15*'Prices and Spreads'!J$7+'Prices and Spreads'!J$14+'Prices and Spreads'!J$12+'Prices and Spreads'!J$13*'Historic Prices'!B37*'Prices and Spreads'!J$4/100</f>
        <v>147.10760645878636</v>
      </c>
      <c r="Q44" s="107">
        <f>O44*0.5*$L39/100*5/12+'Prices and Spreads'!K$15*'Prices and Spreads'!K$7+'Prices and Spreads'!K$14+'Prices and Spreads'!K$12+'Prices and Spreads'!K$13*'Historic Prices'!D39*'Prices and Spreads'!K$4/100</f>
        <v>119.85298872291392</v>
      </c>
    </row>
    <row r="45" spans="1:17" ht="15">
      <c r="A45" s="93">
        <v>33695</v>
      </c>
      <c r="B45" s="84">
        <v>93.11</v>
      </c>
      <c r="C45" s="84">
        <v>78.25</v>
      </c>
      <c r="D45" s="84">
        <v>77.13</v>
      </c>
      <c r="E45" s="84">
        <v>2.36</v>
      </c>
      <c r="F45" s="84">
        <f>2000/56*E45*'Cattle Returns'!C$5*'Cattle Returns'!C$4</f>
        <v>30.34285714285714</v>
      </c>
      <c r="G45" s="84">
        <v>60</v>
      </c>
      <c r="H45" s="84">
        <v>300</v>
      </c>
      <c r="I45" s="84">
        <f t="shared" si="0"/>
        <v>23.599999999999998</v>
      </c>
      <c r="J45" s="84">
        <v>279</v>
      </c>
      <c r="K45" s="84">
        <v>163.2</v>
      </c>
      <c r="L45" s="84">
        <v>9.27</v>
      </c>
      <c r="N45" s="107">
        <f>AVERAGE($E39:$E45)*'Assumptions and Rations'!G$28+AVERAGE($F39:$F45)*'Assumptions and Rations'!G$31+AVERAGE($G39:$G45)*'Assumptions and Rations'!G$29+AVERAGE($I39:$I45)*'Assumptions and Rations'!G$30+'Prices and Spreads'!J$11</f>
        <v>188.69300938043907</v>
      </c>
      <c r="O45" s="107">
        <f>AVERAGE($E41:$E45)*'Assumptions and Rations'!H$28+AVERAGE($F41:$F45)*'Assumptions and Rations'!H$31+AVERAGE($G41:$G45)*'Assumptions and Rations'!H$29+AVERAGE($I41:$I45)*'Assumptions and Rations'!H$30+'Prices and Spreads'!K$11</f>
        <v>169.5776696356465</v>
      </c>
      <c r="P45" s="107">
        <f>N45*0.5*$L38/100*7/12+'Prices and Spreads'!J$15*'Prices and Spreads'!J$7+'Prices and Spreads'!J$14+'Prices and Spreads'!J$12+'Prices and Spreads'!J$13*'Historic Prices'!B38*'Prices and Spreads'!J$4/100</f>
        <v>146.99148710552197</v>
      </c>
      <c r="Q45" s="107">
        <f>O45*0.5*$L40/100*5/12+'Prices and Spreads'!K$15*'Prices and Spreads'!K$7+'Prices and Spreads'!K$14+'Prices and Spreads'!K$12+'Prices and Spreads'!K$13*'Historic Prices'!D40*'Prices and Spreads'!K$4/100</f>
        <v>119.81233110290187</v>
      </c>
    </row>
    <row r="46" spans="1:17" ht="15">
      <c r="A46" s="93">
        <v>33725</v>
      </c>
      <c r="B46" s="84">
        <v>87.4</v>
      </c>
      <c r="C46" s="84">
        <v>79.06</v>
      </c>
      <c r="D46" s="84">
        <v>75.7</v>
      </c>
      <c r="E46" s="84">
        <v>2.4</v>
      </c>
      <c r="F46" s="84">
        <f>2000/56*E46*'Cattle Returns'!C$5*'Cattle Returns'!C$4</f>
        <v>30.857142857142858</v>
      </c>
      <c r="G46" s="84">
        <v>60</v>
      </c>
      <c r="H46" s="84">
        <v>300</v>
      </c>
      <c r="I46" s="84">
        <f t="shared" si="0"/>
        <v>24</v>
      </c>
      <c r="J46" s="84">
        <v>286.2</v>
      </c>
      <c r="K46" s="84">
        <v>163.2</v>
      </c>
      <c r="L46" s="84">
        <v>9.27</v>
      </c>
      <c r="N46" s="107">
        <f>AVERAGE($E40:$E46)*'Assumptions and Rations'!G$28+AVERAGE($F40:$F46)*'Assumptions and Rations'!G$31+AVERAGE($G40:$G46)*'Assumptions and Rations'!G$29+AVERAGE($I40:$I46)*'Assumptions and Rations'!G$30+'Prices and Spreads'!J$11</f>
        <v>190.58543080275788</v>
      </c>
      <c r="O46" s="107">
        <f>AVERAGE($E42:$E46)*'Assumptions and Rations'!H$28+AVERAGE($F42:$F46)*'Assumptions and Rations'!H$31+AVERAGE($G42:$G46)*'Assumptions and Rations'!H$29+AVERAGE($I42:$I46)*'Assumptions and Rations'!H$30+'Prices and Spreads'!K$11</f>
        <v>171.46165028444915</v>
      </c>
      <c r="P46" s="107">
        <f>N46*0.5*$L39/100*7/12+'Prices and Spreads'!J$15*'Prices and Spreads'!J$7+'Prices and Spreads'!J$14+'Prices and Spreads'!J$12+'Prices and Spreads'!J$13*'Historic Prices'!B39*'Prices and Spreads'!J$4/100</f>
        <v>146.86727111562064</v>
      </c>
      <c r="Q46" s="107">
        <f>O46*0.5*$L41/100*5/12+'Prices and Spreads'!K$15*'Prices and Spreads'!K$7+'Prices and Spreads'!K$14+'Prices and Spreads'!K$12+'Prices and Spreads'!K$13*'Historic Prices'!D41*'Prices and Spreads'!K$4/100</f>
        <v>119.64851023064156</v>
      </c>
    </row>
    <row r="47" spans="1:17" ht="15">
      <c r="A47" s="93">
        <v>33756</v>
      </c>
      <c r="B47" s="84">
        <v>87.95</v>
      </c>
      <c r="C47" s="84">
        <v>82.06</v>
      </c>
      <c r="D47" s="84">
        <v>73.92</v>
      </c>
      <c r="E47" s="84">
        <v>2.35</v>
      </c>
      <c r="F47" s="84">
        <f>2000/56*E47*'Cattle Returns'!C$5*'Cattle Returns'!C$4</f>
        <v>30.21428571428572</v>
      </c>
      <c r="G47" s="84">
        <v>60</v>
      </c>
      <c r="H47" s="84">
        <v>300</v>
      </c>
      <c r="I47" s="84">
        <f t="shared" si="0"/>
        <v>23.5</v>
      </c>
      <c r="J47" s="84">
        <v>287</v>
      </c>
      <c r="K47" s="84">
        <v>163.2</v>
      </c>
      <c r="L47" s="84">
        <v>9.27</v>
      </c>
      <c r="N47" s="107">
        <f>AVERAGE($E41:$E47)*'Assumptions and Rations'!G$28+AVERAGE($F41:$F47)*'Assumptions and Rations'!G$31+AVERAGE($G41:$G47)*'Assumptions and Rations'!G$29+AVERAGE($I41:$I47)*'Assumptions and Rations'!G$30+'Prices and Spreads'!J$11</f>
        <v>191.68104320515297</v>
      </c>
      <c r="O47" s="107">
        <f>AVERAGE($E43:$E47)*'Assumptions and Rations'!H$28+AVERAGE($F43:$F47)*'Assumptions and Rations'!H$31+AVERAGE($G43:$G47)*'Assumptions and Rations'!H$29+AVERAGE($I43:$I47)*'Assumptions and Rations'!H$30+'Prices and Spreads'!K$11</f>
        <v>171.96404512412983</v>
      </c>
      <c r="P47" s="107">
        <f>N47*0.5*$L40/100*7/12+'Prices and Spreads'!J$15*'Prices and Spreads'!J$7+'Prices and Spreads'!J$14+'Prices and Spreads'!J$12+'Prices and Spreads'!J$13*'Historic Prices'!B40*'Prices and Spreads'!J$4/100</f>
        <v>146.3799497379334</v>
      </c>
      <c r="Q47" s="107">
        <f>O47*0.5*$L42/100*5/12+'Prices and Spreads'!K$15*'Prices and Spreads'!K$7+'Prices and Spreads'!K$14+'Prices and Spreads'!K$12+'Prices and Spreads'!K$13*'Historic Prices'!D42*'Prices and Spreads'!K$4/100</f>
        <v>119.80572228812642</v>
      </c>
    </row>
    <row r="48" spans="1:17" ht="15">
      <c r="A48" s="93">
        <v>33786</v>
      </c>
      <c r="B48" s="84">
        <v>93.35</v>
      </c>
      <c r="C48" s="84">
        <v>83.01</v>
      </c>
      <c r="D48" s="84">
        <v>72.92</v>
      </c>
      <c r="E48" s="84">
        <v>2.19</v>
      </c>
      <c r="F48" s="84">
        <f>2000/56*E48*'Cattle Returns'!C$5*'Cattle Returns'!C$4</f>
        <v>28.15714285714286</v>
      </c>
      <c r="G48" s="84">
        <v>60</v>
      </c>
      <c r="H48" s="84">
        <v>300</v>
      </c>
      <c r="I48" s="84">
        <f t="shared" si="0"/>
        <v>21.9</v>
      </c>
      <c r="J48" s="84">
        <v>283</v>
      </c>
      <c r="K48" s="84">
        <v>163.2</v>
      </c>
      <c r="L48" s="84">
        <v>9.05</v>
      </c>
      <c r="N48" s="107">
        <f>AVERAGE($E42:$E48)*'Assumptions and Rations'!G$28+AVERAGE($F42:$F48)*'Assumptions and Rations'!G$31+AVERAGE($G42:$G48)*'Assumptions and Rations'!G$29+AVERAGE($I42:$I48)*'Assumptions and Rations'!G$30+'Prices and Spreads'!J$11</f>
        <v>191.0834364402102</v>
      </c>
      <c r="O48" s="107">
        <f>AVERAGE($E44:$E48)*'Assumptions and Rations'!H$28+AVERAGE($F44:$F48)*'Assumptions and Rations'!H$31+AVERAGE($G44:$G48)*'Assumptions and Rations'!H$29+AVERAGE($I44:$I48)*'Assumptions and Rations'!H$30+'Prices and Spreads'!K$11</f>
        <v>169.5776696356465</v>
      </c>
      <c r="P48" s="107">
        <f>N48*0.5*$L41/100*7/12+'Prices and Spreads'!J$15*'Prices and Spreads'!J$7+'Prices and Spreads'!J$14+'Prices and Spreads'!J$12+'Prices and Spreads'!J$13*'Historic Prices'!B41*'Prices and Spreads'!J$4/100</f>
        <v>145.89680970054113</v>
      </c>
      <c r="Q48" s="107">
        <f>O48*0.5*$L43/100*5/12+'Prices and Spreads'!K$15*'Prices and Spreads'!K$7+'Prices and Spreads'!K$14+'Prices and Spreads'!K$12+'Prices and Spreads'!K$13*'Historic Prices'!D43*'Prices and Spreads'!K$4/100</f>
        <v>119.99363541150507</v>
      </c>
    </row>
    <row r="49" spans="1:17" ht="15">
      <c r="A49" s="93">
        <v>33817</v>
      </c>
      <c r="B49" s="84">
        <v>94.02</v>
      </c>
      <c r="C49" s="84">
        <v>84.41</v>
      </c>
      <c r="D49" s="84">
        <v>73.71</v>
      </c>
      <c r="E49" s="84">
        <v>2.02</v>
      </c>
      <c r="F49" s="84">
        <f>2000/56*E49*'Cattle Returns'!C$5*'Cattle Returns'!C$4</f>
        <v>25.971428571428575</v>
      </c>
      <c r="G49" s="84">
        <v>60</v>
      </c>
      <c r="H49" s="84">
        <v>300</v>
      </c>
      <c r="I49" s="84">
        <f t="shared" si="0"/>
        <v>20.2</v>
      </c>
      <c r="J49" s="84">
        <v>283</v>
      </c>
      <c r="K49" s="84">
        <v>163.2</v>
      </c>
      <c r="L49" s="84">
        <v>8.9</v>
      </c>
      <c r="N49" s="107">
        <f>AVERAGE($E43:$E49)*'Assumptions and Rations'!G$28+AVERAGE($F43:$F49)*'Assumptions and Rations'!G$31+AVERAGE($G43:$G49)*'Assumptions and Rations'!G$29+AVERAGE($I43:$I49)*'Assumptions and Rations'!G$30+'Prices and Spreads'!J$11</f>
        <v>188.19500374298678</v>
      </c>
      <c r="O49" s="107">
        <f>AVERAGE($E45:$E49)*'Assumptions and Rations'!H$28+AVERAGE($F45:$F49)*'Assumptions and Rations'!H$31+AVERAGE($G45:$G49)*'Assumptions and Rations'!H$29+AVERAGE($I45:$I49)*'Assumptions and Rations'!H$30+'Prices and Spreads'!K$11</f>
        <v>163.80012897931837</v>
      </c>
      <c r="P49" s="107">
        <f>N49*0.5*$L42/100*7/12+'Prices and Spreads'!J$15*'Prices and Spreads'!J$7+'Prices and Spreads'!J$14+'Prices and Spreads'!J$12+'Prices and Spreads'!J$13*'Historic Prices'!B42*'Prices and Spreads'!J$4/100</f>
        <v>145.69918202908562</v>
      </c>
      <c r="Q49" s="107">
        <f>O49*0.5*$L44/100*5/12+'Prices and Spreads'!K$15*'Prices and Spreads'!K$7+'Prices and Spreads'!K$14+'Prices and Spreads'!K$12+'Prices and Spreads'!K$13*'Historic Prices'!D44*'Prices and Spreads'!K$4/100</f>
        <v>119.92536915757975</v>
      </c>
    </row>
    <row r="50" spans="1:17" ht="15">
      <c r="A50" s="93">
        <v>33848</v>
      </c>
      <c r="B50" s="84">
        <v>92.31</v>
      </c>
      <c r="C50" s="84">
        <v>84.91</v>
      </c>
      <c r="D50" s="84">
        <v>73.74</v>
      </c>
      <c r="E50" s="84">
        <v>2.04</v>
      </c>
      <c r="F50" s="84">
        <f>2000/56*E50*'Cattle Returns'!C$5*'Cattle Returns'!C$4</f>
        <v>26.228571428571435</v>
      </c>
      <c r="G50" s="84">
        <v>60</v>
      </c>
      <c r="H50" s="84">
        <v>300</v>
      </c>
      <c r="I50" s="84">
        <f t="shared" si="0"/>
        <v>20.4</v>
      </c>
      <c r="J50" s="84">
        <v>285</v>
      </c>
      <c r="K50" s="84">
        <v>162.2</v>
      </c>
      <c r="L50" s="84">
        <v>8.9</v>
      </c>
      <c r="N50" s="107">
        <f>AVERAGE($E44:$E50)*'Assumptions and Rations'!G$28+AVERAGE($F44:$F50)*'Assumptions and Rations'!G$31+AVERAGE($G44:$G50)*'Assumptions and Rations'!G$29+AVERAGE($I44:$I50)*'Assumptions and Rations'!G$30+'Prices and Spreads'!J$11</f>
        <v>184.80856540831104</v>
      </c>
      <c r="O50" s="107">
        <f>AVERAGE($E46:$E50)*'Assumptions and Rations'!H$28+AVERAGE($F46:$F50)*'Assumptions and Rations'!H$31+AVERAGE($G46:$G50)*'Assumptions and Rations'!H$29+AVERAGE($I46:$I50)*'Assumptions and Rations'!H$30+'Prices and Spreads'!K$11</f>
        <v>159.78097026187274</v>
      </c>
      <c r="P50" s="107">
        <f>N50*0.5*$L43/100*7/12+'Prices and Spreads'!J$15*'Prices and Spreads'!J$7+'Prices and Spreads'!J$14+'Prices and Spreads'!J$12+'Prices and Spreads'!J$13*'Historic Prices'!B43*'Prices and Spreads'!J$4/100</f>
        <v>145.9433962026118</v>
      </c>
      <c r="Q50" s="107">
        <f>O50*0.5*$L45/100*5/12+'Prices and Spreads'!K$15*'Prices and Spreads'!K$7+'Prices and Spreads'!K$14+'Prices and Spreads'!K$12+'Prices and Spreads'!K$13*'Historic Prices'!D45*'Prices and Spreads'!K$4/100</f>
        <v>119.84099915484907</v>
      </c>
    </row>
    <row r="51" spans="1:17" ht="15">
      <c r="A51" s="93">
        <v>33878</v>
      </c>
      <c r="B51" s="84">
        <v>87.75</v>
      </c>
      <c r="C51" s="84">
        <v>84.12</v>
      </c>
      <c r="D51" s="84">
        <v>74.16</v>
      </c>
      <c r="E51" s="84">
        <v>2.04</v>
      </c>
      <c r="F51" s="84">
        <f>2000/56*E51*'Cattle Returns'!C$5*'Cattle Returns'!C$4</f>
        <v>26.228571428571435</v>
      </c>
      <c r="G51" s="84">
        <v>60</v>
      </c>
      <c r="H51" s="84">
        <v>300</v>
      </c>
      <c r="I51" s="84">
        <f t="shared" si="0"/>
        <v>20.4</v>
      </c>
      <c r="J51" s="84">
        <v>282.6</v>
      </c>
      <c r="K51" s="84">
        <v>162.2</v>
      </c>
      <c r="L51" s="84">
        <v>8.9</v>
      </c>
      <c r="N51" s="107">
        <f>AVERAGE($E45:$E51)*'Assumptions and Rations'!G$28+AVERAGE($F45:$F51)*'Assumptions and Rations'!G$31+AVERAGE($G45:$G51)*'Assumptions and Rations'!G$29+AVERAGE($I45:$I51)*'Assumptions and Rations'!G$30+'Prices and Spreads'!J$11</f>
        <v>180.42611579873065</v>
      </c>
      <c r="O51" s="107">
        <f>AVERAGE($E47:$E51)*'Assumptions and Rations'!H$28+AVERAGE($F47:$F51)*'Assumptions and Rations'!H$31+AVERAGE($G47:$G51)*'Assumptions and Rations'!H$29+AVERAGE($I47:$I51)*'Assumptions and Rations'!H$30+'Prices and Spreads'!K$11</f>
        <v>155.25941670474637</v>
      </c>
      <c r="P51" s="107">
        <f>N51*0.5*$L44/100*7/12+'Prices and Spreads'!J$15*'Prices and Spreads'!J$7+'Prices and Spreads'!J$14+'Prices and Spreads'!J$12+'Prices and Spreads'!J$13*'Historic Prices'!B44*'Prices and Spreads'!J$4/100</f>
        <v>146.0088807212928</v>
      </c>
      <c r="Q51" s="107">
        <f>O51*0.5*$L46/100*5/12+'Prices and Spreads'!K$15*'Prices and Spreads'!K$7+'Prices and Spreads'!K$14+'Prices and Spreads'!K$12+'Prices and Spreads'!K$13*'Historic Prices'!D46*'Prices and Spreads'!K$4/100</f>
        <v>119.67323915177707</v>
      </c>
    </row>
    <row r="52" spans="1:17" ht="15">
      <c r="A52" s="93">
        <v>33909</v>
      </c>
      <c r="B52" s="84">
        <v>90.73</v>
      </c>
      <c r="C52" s="84">
        <v>84.97</v>
      </c>
      <c r="D52" s="84">
        <v>74.56</v>
      </c>
      <c r="E52" s="84">
        <v>1.89</v>
      </c>
      <c r="F52" s="84">
        <f>2000/56*E52*'Cattle Returns'!C$5*'Cattle Returns'!C$4</f>
        <v>24.3</v>
      </c>
      <c r="G52" s="84">
        <v>60</v>
      </c>
      <c r="H52" s="84">
        <v>300</v>
      </c>
      <c r="I52" s="84">
        <f t="shared" si="0"/>
        <v>18.9</v>
      </c>
      <c r="J52" s="84">
        <v>296</v>
      </c>
      <c r="K52" s="84">
        <v>162.2</v>
      </c>
      <c r="L52" s="84">
        <v>8.9</v>
      </c>
      <c r="N52" s="107">
        <f>AVERAGE($E46:$E52)*'Assumptions and Rations'!G$28+AVERAGE($F46:$F52)*'Assumptions and Rations'!G$31+AVERAGE($G46:$G52)*'Assumptions and Rations'!G$29+AVERAGE($I46:$I52)*'Assumptions and Rations'!G$30+'Prices and Spreads'!J$11</f>
        <v>175.74486280667895</v>
      </c>
      <c r="O52" s="107">
        <f>AVERAGE($E48:$E52)*'Assumptions and Rations'!H$28+AVERAGE($F48:$F52)*'Assumptions and Rations'!H$31+AVERAGE($G48:$G52)*'Assumptions and Rations'!H$29+AVERAGE($I48:$I52)*'Assumptions and Rations'!H$30+'Prices and Spreads'!K$11</f>
        <v>149.48187604841826</v>
      </c>
      <c r="P52" s="107">
        <f>N52*0.5*$L45/100*7/12+'Prices and Spreads'!J$15*'Prices and Spreads'!J$7+'Prices and Spreads'!J$14+'Prices and Spreads'!J$12+'Prices and Spreads'!J$13*'Historic Prices'!B45*'Prices and Spreads'!J$4/100</f>
        <v>145.7486613435202</v>
      </c>
      <c r="Q52" s="107">
        <f>O52*0.5*$L47/100*5/12+'Prices and Spreads'!K$15*'Prices and Spreads'!K$7+'Prices and Spreads'!K$14+'Prices and Spreads'!K$12+'Prices and Spreads'!K$13*'Historic Prices'!D47*'Prices and Spreads'!K$4/100</f>
        <v>119.46153539785173</v>
      </c>
    </row>
    <row r="53" spans="1:17" ht="15">
      <c r="A53" s="93">
        <v>33939</v>
      </c>
      <c r="B53" s="84">
        <v>90.46</v>
      </c>
      <c r="C53" s="84">
        <v>86.69</v>
      </c>
      <c r="D53" s="84">
        <v>76.88</v>
      </c>
      <c r="E53" s="84">
        <v>1.93</v>
      </c>
      <c r="F53" s="84">
        <f>2000/56*E53*'Cattle Returns'!C$5*'Cattle Returns'!C$4</f>
        <v>24.814285714285717</v>
      </c>
      <c r="G53" s="84">
        <v>60</v>
      </c>
      <c r="H53" s="84">
        <v>300</v>
      </c>
      <c r="I53" s="84">
        <f t="shared" si="0"/>
        <v>19.3</v>
      </c>
      <c r="J53" s="84">
        <v>306</v>
      </c>
      <c r="K53" s="84">
        <v>162.2</v>
      </c>
      <c r="L53" s="84">
        <v>8.9</v>
      </c>
      <c r="N53" s="107">
        <f>AVERAGE($E47:$E53)*'Assumptions and Rations'!G$28+AVERAGE($F47:$F53)*'Assumptions and Rations'!G$31+AVERAGE($G47:$G53)*'Assumptions and Rations'!G$29+AVERAGE($I47:$I53)*'Assumptions and Rations'!G$30+'Prices and Spreads'!J$11</f>
        <v>171.0636098146272</v>
      </c>
      <c r="O53" s="107">
        <f>AVERAGE($E49:$E53)*'Assumptions and Rations'!H$28+AVERAGE($F49:$F53)*'Assumptions and Rations'!H$31+AVERAGE($G49:$G53)*'Assumptions and Rations'!H$29+AVERAGE($I49:$I53)*'Assumptions and Rations'!H$30+'Prices and Spreads'!K$11</f>
        <v>146.21630959049364</v>
      </c>
      <c r="P53" s="107">
        <f>N53*0.5*$L46/100*7/12+'Prices and Spreads'!J$15*'Prices and Spreads'!J$7+'Prices and Spreads'!J$14+'Prices and Spreads'!J$12+'Prices and Spreads'!J$13*'Historic Prices'!B46*'Prices and Spreads'!J$4/100</f>
        <v>145.1510169657476</v>
      </c>
      <c r="Q53" s="107">
        <f>O53*0.5*$L48/100*5/12+'Prices and Spreads'!K$15*'Prices and Spreads'!K$7+'Prices and Spreads'!K$14+'Prices and Spreads'!K$12+'Prices and Spreads'!K$13*'Historic Prices'!D48*'Prices and Spreads'!K$4/100</f>
        <v>119.27520333707075</v>
      </c>
    </row>
    <row r="54" spans="1:17" ht="15">
      <c r="A54" s="93">
        <v>33970</v>
      </c>
      <c r="B54" s="84">
        <v>95.18</v>
      </c>
      <c r="C54" s="84">
        <v>87.54</v>
      </c>
      <c r="D54" s="84">
        <v>75.98</v>
      </c>
      <c r="E54" s="84">
        <v>1.91</v>
      </c>
      <c r="F54" s="84">
        <f>2000/56*E54*'Cattle Returns'!C$5*'Cattle Returns'!C$4</f>
        <v>24.557142857142857</v>
      </c>
      <c r="G54" s="84">
        <v>60</v>
      </c>
      <c r="H54" s="84">
        <v>300</v>
      </c>
      <c r="I54" s="84">
        <f t="shared" si="0"/>
        <v>19.099999999999998</v>
      </c>
      <c r="J54" s="84">
        <v>304.5</v>
      </c>
      <c r="K54" s="84">
        <v>162.2</v>
      </c>
      <c r="L54" s="84">
        <v>8.9</v>
      </c>
      <c r="N54" s="107">
        <f>AVERAGE($E48:$E54)*'Assumptions and Rations'!G$28+AVERAGE($F48:$F54)*'Assumptions and Rations'!G$31+AVERAGE($G48:$G54)*'Assumptions and Rations'!G$29+AVERAGE($I48:$I54)*'Assumptions and Rations'!G$30+'Prices and Spreads'!J$11</f>
        <v>166.68116020504684</v>
      </c>
      <c r="O54" s="107">
        <f>AVERAGE($E50:$E54)*'Assumptions and Rations'!H$28+AVERAGE($F50:$F54)*'Assumptions and Rations'!H$31+AVERAGE($G50:$G54)*'Assumptions and Rations'!H$29+AVERAGE($I50:$I54)*'Assumptions and Rations'!H$30+'Prices and Spreads'!K$11</f>
        <v>144.83472378137168</v>
      </c>
      <c r="P54" s="107">
        <f>N54*0.5*$L47/100*7/12+'Prices and Spreads'!J$15*'Prices and Spreads'!J$7+'Prices and Spreads'!J$14+'Prices and Spreads'!J$12+'Prices and Spreads'!J$13*'Historic Prices'!B47*'Prices and Spreads'!J$4/100</f>
        <v>145.07790148442857</v>
      </c>
      <c r="Q54" s="107">
        <f>O54*0.5*$L49/100*5/12+'Prices and Spreads'!K$15*'Prices and Spreads'!K$7+'Prices and Spreads'!K$14+'Prices and Spreads'!K$12+'Prices and Spreads'!K$13*'Historic Prices'!D49*'Prices and Spreads'!K$4/100</f>
        <v>119.24833133677959</v>
      </c>
    </row>
    <row r="55" spans="1:17" ht="15">
      <c r="A55" s="93">
        <v>34001</v>
      </c>
      <c r="B55" s="84">
        <v>96.05</v>
      </c>
      <c r="C55" s="84">
        <v>85.73</v>
      </c>
      <c r="D55" s="84">
        <v>80.01</v>
      </c>
      <c r="E55" s="84">
        <v>1.91</v>
      </c>
      <c r="F55" s="84">
        <f>2000/56*E55*'Cattle Returns'!C$5*'Cattle Returns'!C$4</f>
        <v>24.557142857142857</v>
      </c>
      <c r="G55" s="84">
        <v>60</v>
      </c>
      <c r="H55" s="84">
        <v>300</v>
      </c>
      <c r="I55" s="84">
        <f t="shared" si="0"/>
        <v>19.099999999999998</v>
      </c>
      <c r="J55" s="84">
        <v>294.4</v>
      </c>
      <c r="K55" s="84">
        <v>162.2</v>
      </c>
      <c r="L55" s="84">
        <v>8.9</v>
      </c>
      <c r="N55" s="107">
        <f>AVERAGE($E49:$E55)*'Assumptions and Rations'!G$28+AVERAGE($F49:$F55)*'Assumptions and Rations'!G$31+AVERAGE($G49:$G55)*'Assumptions and Rations'!G$29+AVERAGE($I49:$I55)*'Assumptions and Rations'!G$30+'Prices and Spreads'!J$11</f>
        <v>163.89232863531387</v>
      </c>
      <c r="O55" s="107">
        <f>AVERAGE($E51:$E55)*'Assumptions and Rations'!H$28+AVERAGE($F51:$F55)*'Assumptions and Rations'!H$31+AVERAGE($G51:$G55)*'Assumptions and Rations'!H$29+AVERAGE($I51:$I55)*'Assumptions and Rations'!H$30+'Prices and Spreads'!K$11</f>
        <v>143.2019405524094</v>
      </c>
      <c r="P55" s="107">
        <f>N55*0.5*$L48/100*7/12+'Prices and Spreads'!J$15*'Prices and Spreads'!J$7+'Prices and Spreads'!J$14+'Prices and Spreads'!J$12+'Prices and Spreads'!J$13*'Historic Prices'!B48*'Prices and Spreads'!J$4/100</f>
        <v>145.34283420665423</v>
      </c>
      <c r="Q55" s="107">
        <f>O55*0.5*$L50/100*5/12+'Prices and Spreads'!K$15*'Prices and Spreads'!K$7+'Prices and Spreads'!K$14+'Prices and Spreads'!K$12+'Prices and Spreads'!K$13*'Historic Prices'!D50*'Prices and Spreads'!K$4/100</f>
        <v>119.21974431440924</v>
      </c>
    </row>
    <row r="56" spans="1:17" ht="15">
      <c r="A56" s="93">
        <v>34029</v>
      </c>
      <c r="B56" s="84">
        <v>100.17</v>
      </c>
      <c r="C56" s="84">
        <v>85.6</v>
      </c>
      <c r="D56" s="84">
        <v>82.76</v>
      </c>
      <c r="E56" s="84">
        <v>2</v>
      </c>
      <c r="F56" s="84">
        <f>2000/56*E56*'Cattle Returns'!C$5*'Cattle Returns'!C$4</f>
        <v>25.71428571428572</v>
      </c>
      <c r="G56" s="84">
        <v>60</v>
      </c>
      <c r="H56" s="84">
        <v>300</v>
      </c>
      <c r="I56" s="84">
        <f t="shared" si="0"/>
        <v>20</v>
      </c>
      <c r="J56" s="84">
        <v>296.8</v>
      </c>
      <c r="K56" s="84">
        <v>162.2</v>
      </c>
      <c r="L56" s="84">
        <v>8.53</v>
      </c>
      <c r="N56" s="107">
        <f>AVERAGE($E50:$E56)*'Assumptions and Rations'!G$28+AVERAGE($F50:$F56)*'Assumptions and Rations'!G$31+AVERAGE($G50:$G56)*'Assumptions and Rations'!G$29+AVERAGE($I50:$I56)*'Assumptions and Rations'!G$30+'Prices and Spreads'!J$11</f>
        <v>163.69312638033296</v>
      </c>
      <c r="O56" s="107">
        <f>AVERAGE($E52:$E56)*'Assumptions and Rations'!H$28+AVERAGE($F52:$F56)*'Assumptions and Rations'!H$31+AVERAGE($G52:$G56)*'Assumptions and Rations'!H$29+AVERAGE($I52:$I56)*'Assumptions and Rations'!H$30+'Prices and Spreads'!K$11</f>
        <v>142.6995457127287</v>
      </c>
      <c r="P56" s="107">
        <f>N56*0.5*$L49/100*7/12+'Prices and Spreads'!J$15*'Prices and Spreads'!J$7+'Prices and Spreads'!J$14+'Prices and Spreads'!J$12+'Prices and Spreads'!J$13*'Historic Prices'!B49*'Prices and Spreads'!J$4/100</f>
        <v>145.32123535434076</v>
      </c>
      <c r="Q56" s="107">
        <f>O56*0.5*$L51/100*5/12+'Prices and Spreads'!K$15*'Prices and Spreads'!K$7+'Prices and Spreads'!K$14+'Prices and Spreads'!K$12+'Prices and Spreads'!K$13*'Historic Prices'!D51*'Prices and Spreads'!K$4/100</f>
        <v>119.23405407675683</v>
      </c>
    </row>
    <row r="57" spans="1:17" ht="15">
      <c r="A57" s="93">
        <v>34060</v>
      </c>
      <c r="B57" s="84">
        <v>102.77</v>
      </c>
      <c r="C57" s="84">
        <v>86.77</v>
      </c>
      <c r="D57" s="84">
        <v>81.67</v>
      </c>
      <c r="E57" s="84">
        <v>2.12</v>
      </c>
      <c r="F57" s="84">
        <f>2000/56*E57*'Cattle Returns'!C$5*'Cattle Returns'!C$4</f>
        <v>27.257142857142863</v>
      </c>
      <c r="G57" s="84">
        <v>60</v>
      </c>
      <c r="H57" s="84">
        <v>300</v>
      </c>
      <c r="I57" s="84">
        <f t="shared" si="0"/>
        <v>21.200000000000003</v>
      </c>
      <c r="J57" s="84">
        <v>306</v>
      </c>
      <c r="K57" s="84">
        <v>162.2</v>
      </c>
      <c r="L57" s="84">
        <v>8.25</v>
      </c>
      <c r="N57" s="107">
        <f>AVERAGE($E51:$E57)*'Assumptions and Rations'!G$28+AVERAGE($F51:$F57)*'Assumptions and Rations'!G$31+AVERAGE($G51:$G57)*'Assumptions and Rations'!G$29+AVERAGE($I51:$I57)*'Assumptions and Rations'!G$30+'Prices and Spreads'!J$11</f>
        <v>164.48993540025666</v>
      </c>
      <c r="O57" s="107">
        <f>AVERAGE($E53:$E57)*'Assumptions and Rations'!H$28+AVERAGE($F53:$F57)*'Assumptions and Rations'!H$31+AVERAGE($G53:$G57)*'Assumptions and Rations'!H$29+AVERAGE($I53:$I57)*'Assumptions and Rations'!H$30+'Prices and Spreads'!K$11</f>
        <v>145.5883160408928</v>
      </c>
      <c r="P57" s="107">
        <f>N57*0.5*$L50/100*7/12+'Prices and Spreads'!J$15*'Prices and Spreads'!J$7+'Prices and Spreads'!J$14+'Prices and Spreads'!J$12+'Prices and Spreads'!J$13*'Historic Prices'!B50*'Prices and Spreads'!J$4/100</f>
        <v>145.20084418848293</v>
      </c>
      <c r="Q57" s="107">
        <f>O57*0.5*$L52/100*5/12+'Prices and Spreads'!K$15*'Prices and Spreads'!K$7+'Prices and Spreads'!K$14+'Prices and Spreads'!K$12+'Prices and Spreads'!K$13*'Historic Prices'!D52*'Prices and Spreads'!K$4/100</f>
        <v>119.31011669325821</v>
      </c>
    </row>
    <row r="58" spans="1:17" ht="15">
      <c r="A58" s="93">
        <v>34090</v>
      </c>
      <c r="B58" s="84">
        <v>99.98</v>
      </c>
      <c r="C58" s="84">
        <v>87.3</v>
      </c>
      <c r="D58" s="84">
        <v>80.45</v>
      </c>
      <c r="E58" s="84">
        <v>2.09</v>
      </c>
      <c r="F58" s="84">
        <f>2000/56*E58*'Cattle Returns'!C$5*'Cattle Returns'!C$4</f>
        <v>26.871428571428574</v>
      </c>
      <c r="G58" s="84">
        <v>60</v>
      </c>
      <c r="H58" s="84">
        <v>300</v>
      </c>
      <c r="I58" s="84">
        <f t="shared" si="0"/>
        <v>20.9</v>
      </c>
      <c r="J58" s="84">
        <v>309</v>
      </c>
      <c r="K58" s="84">
        <v>162.2</v>
      </c>
      <c r="L58" s="84">
        <v>8.25</v>
      </c>
      <c r="N58" s="107">
        <f>AVERAGE($E52:$E58)*'Assumptions and Rations'!G$28+AVERAGE($F52:$F58)*'Assumptions and Rations'!G$31+AVERAGE($G52:$G58)*'Assumptions and Rations'!G$29+AVERAGE($I52:$I58)*'Assumptions and Rations'!G$30+'Prices and Spreads'!J$11</f>
        <v>164.987941037709</v>
      </c>
      <c r="O58" s="107">
        <f>AVERAGE($E54:$E58)*'Assumptions and Rations'!H$28+AVERAGE($F54:$F58)*'Assumptions and Rations'!H$31+AVERAGE($G54:$G58)*'Assumptions and Rations'!H$29+AVERAGE($I54:$I58)*'Assumptions and Rations'!H$30+'Prices and Spreads'!K$11</f>
        <v>147.59789539961562</v>
      </c>
      <c r="P58" s="107">
        <f>N58*0.5*$L51/100*7/12+'Prices and Spreads'!J$15*'Prices and Spreads'!J$7+'Prices and Spreads'!J$14+'Prices and Spreads'!J$12+'Prices and Spreads'!J$13*'Historic Prices'!B51*'Prices and Spreads'!J$4/100</f>
        <v>144.8375715848218</v>
      </c>
      <c r="Q58" s="107">
        <f>O58*0.5*$L53/100*5/12+'Prices and Spreads'!K$15*'Prices and Spreads'!K$7+'Prices and Spreads'!K$14+'Prices and Spreads'!K$12+'Prices and Spreads'!K$13*'Historic Prices'!D53*'Prices and Spreads'!K$4/100</f>
        <v>119.47787764386787</v>
      </c>
    </row>
    <row r="59" spans="1:17" ht="15">
      <c r="A59" s="93">
        <v>34121</v>
      </c>
      <c r="B59" s="84">
        <v>103.48</v>
      </c>
      <c r="C59" s="84">
        <v>88.74</v>
      </c>
      <c r="D59" s="84">
        <v>76.86</v>
      </c>
      <c r="E59" s="84">
        <v>1.95</v>
      </c>
      <c r="F59" s="84">
        <f>2000/56*E59*'Cattle Returns'!C$5*'Cattle Returns'!C$4</f>
        <v>25.07142857142857</v>
      </c>
      <c r="G59" s="84">
        <v>60</v>
      </c>
      <c r="H59" s="84">
        <v>300</v>
      </c>
      <c r="I59" s="84">
        <f t="shared" si="0"/>
        <v>19.5</v>
      </c>
      <c r="J59" s="84">
        <v>306.4</v>
      </c>
      <c r="K59" s="84">
        <v>162.2</v>
      </c>
      <c r="L59" s="84">
        <v>8.25</v>
      </c>
      <c r="N59" s="107">
        <f>AVERAGE($E53:$E59)*'Assumptions and Rations'!G$28+AVERAGE($F53:$F59)*'Assumptions and Rations'!G$31+AVERAGE($G53:$G59)*'Assumptions and Rations'!G$29+AVERAGE($I53:$I59)*'Assumptions and Rations'!G$30+'Prices and Spreads'!J$11</f>
        <v>165.58554780265175</v>
      </c>
      <c r="O59" s="107">
        <f>AVERAGE($E55:$E59)*'Assumptions and Rations'!H$28+AVERAGE($F55:$F59)*'Assumptions and Rations'!H$31+AVERAGE($G55:$G59)*'Assumptions and Rations'!H$29+AVERAGE($I55:$I59)*'Assumptions and Rations'!H$30+'Prices and Spreads'!K$11</f>
        <v>148.1002902392963</v>
      </c>
      <c r="P59" s="107">
        <f>N59*0.5*$L52/100*7/12+'Prices and Spreads'!J$15*'Prices and Spreads'!J$7+'Prices and Spreads'!J$14+'Prices and Spreads'!J$12+'Prices and Spreads'!J$13*'Historic Prices'!B52*'Prices and Spreads'!J$4/100</f>
        <v>145.09893446042847</v>
      </c>
      <c r="Q59" s="107">
        <f>O59*0.5*$L54/100*5/12+'Prices and Spreads'!K$15*'Prices and Spreads'!K$7+'Prices and Spreads'!K$14+'Prices and Spreads'!K$12+'Prices and Spreads'!K$13*'Historic Prices'!D54*'Prices and Spreads'!K$4/100</f>
        <v>119.43656788152028</v>
      </c>
    </row>
    <row r="60" spans="1:17" ht="15">
      <c r="A60" s="93">
        <v>34151</v>
      </c>
      <c r="B60" s="84">
        <v>99.86</v>
      </c>
      <c r="C60" s="84">
        <v>89.76</v>
      </c>
      <c r="D60" s="84">
        <v>73.89</v>
      </c>
      <c r="E60" s="84">
        <v>2.12</v>
      </c>
      <c r="F60" s="84">
        <f>2000/56*E60*'Cattle Returns'!C$5*'Cattle Returns'!C$4</f>
        <v>27.257142857142863</v>
      </c>
      <c r="G60" s="84">
        <v>60</v>
      </c>
      <c r="H60" s="84">
        <v>300</v>
      </c>
      <c r="I60" s="84">
        <f t="shared" si="0"/>
        <v>21.200000000000003</v>
      </c>
      <c r="J60" s="84">
        <v>334.5</v>
      </c>
      <c r="K60" s="84">
        <v>164.2</v>
      </c>
      <c r="L60" s="84">
        <v>8.25</v>
      </c>
      <c r="N60" s="107">
        <f>AVERAGE($E54:$E60)*'Assumptions and Rations'!G$28+AVERAGE($F54:$F60)*'Assumptions and Rations'!G$31+AVERAGE($G54:$G60)*'Assumptions and Rations'!G$29+AVERAGE($I54:$I60)*'Assumptions and Rations'!G$30+'Prices and Spreads'!J$11</f>
        <v>167.47796922497056</v>
      </c>
      <c r="O60" s="107">
        <f>AVERAGE($E56:$E60)*'Assumptions and Rations'!H$28+AVERAGE($F56:$F60)*'Assumptions and Rations'!H$31+AVERAGE($G56:$G60)*'Assumptions and Rations'!H$29+AVERAGE($I56:$I60)*'Assumptions and Rations'!H$30+'Prices and Spreads'!K$11</f>
        <v>150.73786314762</v>
      </c>
      <c r="P60" s="107">
        <f>N60*0.5*$L53/100*7/12+'Prices and Spreads'!J$15*'Prices and Spreads'!J$7+'Prices and Spreads'!J$14+'Prices and Spreads'!J$12+'Prices and Spreads'!J$13*'Historic Prices'!B53*'Prices and Spreads'!J$4/100</f>
        <v>145.12578356651613</v>
      </c>
      <c r="Q60" s="107">
        <f>O60*0.5*$L55/100*5/12+'Prices and Spreads'!K$15*'Prices and Spreads'!K$7+'Prices and Spreads'!K$14+'Prices and Spreads'!K$12+'Prices and Spreads'!K$13*'Historic Prices'!D55*'Prices and Spreads'!K$4/100</f>
        <v>119.71216037919544</v>
      </c>
    </row>
    <row r="61" spans="1:17" ht="15">
      <c r="A61" s="93">
        <v>34182</v>
      </c>
      <c r="B61" s="84">
        <v>97.1</v>
      </c>
      <c r="C61" s="84">
        <v>88.57</v>
      </c>
      <c r="D61" s="84">
        <v>73.67</v>
      </c>
      <c r="E61" s="84">
        <v>2.13</v>
      </c>
      <c r="F61" s="84">
        <f>2000/56*E61*'Cattle Returns'!C$5*'Cattle Returns'!C$4</f>
        <v>27.385714285714286</v>
      </c>
      <c r="G61" s="84">
        <v>60</v>
      </c>
      <c r="H61" s="84">
        <v>300</v>
      </c>
      <c r="I61" s="84">
        <f t="shared" si="0"/>
        <v>21.299999999999997</v>
      </c>
      <c r="J61" s="84">
        <v>329.6</v>
      </c>
      <c r="K61" s="84">
        <v>166.2</v>
      </c>
      <c r="L61" s="84">
        <v>8.25</v>
      </c>
      <c r="N61" s="107">
        <f>AVERAGE($E55:$E61)*'Assumptions and Rations'!G$28+AVERAGE($F55:$F61)*'Assumptions and Rations'!G$31+AVERAGE($G55:$G61)*'Assumptions and Rations'!G$29+AVERAGE($I55:$I61)*'Assumptions and Rations'!G$30+'Prices and Spreads'!J$11</f>
        <v>169.66919402976072</v>
      </c>
      <c r="O61" s="107">
        <f>AVERAGE($E57:$E61)*'Assumptions and Rations'!H$28+AVERAGE($F57:$F61)*'Assumptions and Rations'!H$31+AVERAGE($G57:$G61)*'Assumptions and Rations'!H$29+AVERAGE($I57:$I61)*'Assumptions and Rations'!H$30+'Prices and Spreads'!K$11</f>
        <v>152.3706463765823</v>
      </c>
      <c r="P61" s="107">
        <f>N61*0.5*$L54/100*7/12+'Prices and Spreads'!J$15*'Prices and Spreads'!J$7+'Prices and Spreads'!J$14+'Prices and Spreads'!J$12+'Prices and Spreads'!J$13*'Historic Prices'!B54*'Prices and Spreads'!J$4/100</f>
        <v>145.57206411040715</v>
      </c>
      <c r="Q61" s="107">
        <f>O61*0.5*$L56/100*5/12+'Prices and Spreads'!K$15*'Prices and Spreads'!K$7+'Prices and Spreads'!K$14+'Prices and Spreads'!K$12+'Prices and Spreads'!K$13*'Historic Prices'!D56*'Prices and Spreads'!K$4/100</f>
        <v>119.77967002831717</v>
      </c>
    </row>
    <row r="62" spans="1:17" ht="15">
      <c r="A62" s="93">
        <v>34213</v>
      </c>
      <c r="B62" s="84">
        <v>96.17</v>
      </c>
      <c r="C62" s="84">
        <v>86.99</v>
      </c>
      <c r="D62" s="84">
        <v>72.21</v>
      </c>
      <c r="E62" s="84">
        <v>2.08</v>
      </c>
      <c r="F62" s="84">
        <f>2000/56*E62*'Cattle Returns'!C$5*'Cattle Returns'!C$4</f>
        <v>26.742857142857147</v>
      </c>
      <c r="G62" s="84">
        <v>60</v>
      </c>
      <c r="H62" s="84">
        <v>300</v>
      </c>
      <c r="I62" s="84">
        <f t="shared" si="0"/>
        <v>20.8</v>
      </c>
      <c r="J62" s="84">
        <v>317</v>
      </c>
      <c r="K62" s="84">
        <v>166.2</v>
      </c>
      <c r="L62" s="84">
        <v>8.25</v>
      </c>
      <c r="N62" s="107">
        <f>AVERAGE($E56:$E62)*'Assumptions and Rations'!G$28+AVERAGE($F56:$F62)*'Assumptions and Rations'!G$31+AVERAGE($G56:$G62)*'Assumptions and Rations'!G$29+AVERAGE($I56:$I62)*'Assumptions and Rations'!G$30+'Prices and Spreads'!J$11</f>
        <v>171.3624131970986</v>
      </c>
      <c r="O62" s="107">
        <f>AVERAGE($E58:$E62)*'Assumptions and Rations'!H$28+AVERAGE($F58:$F62)*'Assumptions and Rations'!H$31+AVERAGE($G58:$G62)*'Assumptions and Rations'!H$29+AVERAGE($I58:$I62)*'Assumptions and Rations'!H$30+'Prices and Spreads'!K$11</f>
        <v>151.8682515369016</v>
      </c>
      <c r="P62" s="107">
        <f>N62*0.5*$L55/100*7/12+'Prices and Spreads'!J$15*'Prices and Spreads'!J$7+'Prices and Spreads'!J$14+'Prices and Spreads'!J$12+'Prices and Spreads'!J$13*'Historic Prices'!B55*'Prices and Spreads'!J$4/100</f>
        <v>145.6877922579593</v>
      </c>
      <c r="Q62" s="107">
        <f>O62*0.5*$L57/100*5/12+'Prices and Spreads'!K$15*'Prices and Spreads'!K$7+'Prices and Spreads'!K$14+'Prices and Spreads'!K$12+'Prices and Spreads'!K$13*'Historic Prices'!D57*'Prices and Spreads'!K$4/100</f>
        <v>119.62083973995715</v>
      </c>
    </row>
    <row r="63" spans="1:17" ht="15">
      <c r="A63" s="93">
        <v>34243</v>
      </c>
      <c r="B63" s="84">
        <v>91.86</v>
      </c>
      <c r="C63" s="84">
        <v>84.9</v>
      </c>
      <c r="D63" s="84">
        <v>70.16</v>
      </c>
      <c r="E63" s="84">
        <v>2.19</v>
      </c>
      <c r="F63" s="84">
        <f>2000/56*E63*'Cattle Returns'!C$5*'Cattle Returns'!C$4</f>
        <v>28.15714285714286</v>
      </c>
      <c r="G63" s="84">
        <v>60</v>
      </c>
      <c r="H63" s="84">
        <v>300</v>
      </c>
      <c r="I63" s="84">
        <f t="shared" si="0"/>
        <v>21.9</v>
      </c>
      <c r="J63" s="84">
        <v>309</v>
      </c>
      <c r="K63" s="84">
        <v>166.2</v>
      </c>
      <c r="L63" s="84">
        <v>8.25</v>
      </c>
      <c r="N63" s="107">
        <f>AVERAGE($E57:$E63)*'Assumptions and Rations'!G$28+AVERAGE($F57:$F63)*'Assumptions and Rations'!G$31+AVERAGE($G57:$G63)*'Assumptions and Rations'!G$29+AVERAGE($I57:$I63)*'Assumptions and Rations'!G$30+'Prices and Spreads'!J$11</f>
        <v>173.25483461941735</v>
      </c>
      <c r="O63" s="107">
        <f>AVERAGE($E59:$E63)*'Assumptions and Rations'!H$28+AVERAGE($F59:$F63)*'Assumptions and Rations'!H$31+AVERAGE($G59:$G63)*'Assumptions and Rations'!H$29+AVERAGE($I59:$I63)*'Assumptions and Rations'!H$30+'Prices and Spreads'!K$11</f>
        <v>153.12423863610337</v>
      </c>
      <c r="P63" s="107">
        <f>N63*0.5*$L56/100*7/12+'Prices and Spreads'!J$15*'Prices and Spreads'!J$7+'Prices and Spreads'!J$14+'Prices and Spreads'!J$12+'Prices and Spreads'!J$13*'Historic Prices'!B56*'Prices and Spreads'!J$4/100</f>
        <v>145.88984552168688</v>
      </c>
      <c r="Q63" s="107">
        <f>O63*0.5*$L58/100*5/12+'Prices and Spreads'!K$15*'Prices and Spreads'!K$7+'Prices and Spreads'!K$14+'Prices and Spreads'!K$12+'Prices and Spreads'!K$13*'Historic Prices'!D58*'Prices and Spreads'!K$4/100</f>
        <v>119.57380201822468</v>
      </c>
    </row>
    <row r="64" spans="1:17" ht="15">
      <c r="A64" s="93">
        <v>34274</v>
      </c>
      <c r="B64" s="84">
        <v>89.68</v>
      </c>
      <c r="C64" s="84">
        <v>85.61</v>
      </c>
      <c r="D64" s="84">
        <v>70.53</v>
      </c>
      <c r="E64" s="84">
        <v>2.58</v>
      </c>
      <c r="F64" s="84">
        <f>2000/56*E64*'Cattle Returns'!C$5*'Cattle Returns'!C$4</f>
        <v>33.17142857142858</v>
      </c>
      <c r="G64" s="84">
        <v>60</v>
      </c>
      <c r="H64" s="84">
        <v>300</v>
      </c>
      <c r="I64" s="84">
        <f t="shared" si="0"/>
        <v>25.8</v>
      </c>
      <c r="J64" s="84">
        <v>323.2</v>
      </c>
      <c r="K64" s="84">
        <v>166.2</v>
      </c>
      <c r="L64" s="84">
        <v>8.25</v>
      </c>
      <c r="N64" s="107">
        <f>AVERAGE($E58:$E64)*'Assumptions and Rations'!G$28+AVERAGE($F58:$F64)*'Assumptions and Rations'!G$31+AVERAGE($G58:$G64)*'Assumptions and Rations'!G$29+AVERAGE($I58:$I64)*'Assumptions and Rations'!G$30+'Prices and Spreads'!J$11</f>
        <v>177.83648648397866</v>
      </c>
      <c r="O64" s="107">
        <f>AVERAGE($E60:$E64)*'Assumptions and Rations'!H$28+AVERAGE($F60:$F64)*'Assumptions and Rations'!H$31+AVERAGE($G60:$G64)*'Assumptions and Rations'!H$29+AVERAGE($I60:$I64)*'Assumptions and Rations'!H$30+'Prices and Spreads'!K$11</f>
        <v>161.03695736107446</v>
      </c>
      <c r="P64" s="107">
        <f>N64*0.5*$L57/100*7/12+'Prices and Spreads'!J$15*'Prices and Spreads'!J$7+'Prices and Spreads'!J$14+'Prices and Spreads'!J$12+'Prices and Spreads'!J$13*'Historic Prices'!B57*'Prices and Spreads'!J$4/100</f>
        <v>146.07310007140535</v>
      </c>
      <c r="Q64" s="107">
        <f>O64*0.5*$L59/100*5/12+'Prices and Spreads'!K$15*'Prices and Spreads'!K$7+'Prices and Spreads'!K$14+'Prices and Spreads'!K$12+'Prices and Spreads'!K$13*'Historic Prices'!D59*'Prices and Spreads'!K$4/100</f>
        <v>119.50786437131012</v>
      </c>
    </row>
    <row r="65" spans="1:17" ht="15">
      <c r="A65" s="93">
        <v>34304</v>
      </c>
      <c r="B65" s="84">
        <v>90.8</v>
      </c>
      <c r="C65" s="84">
        <v>86</v>
      </c>
      <c r="D65" s="84">
        <v>70.21</v>
      </c>
      <c r="E65" s="84">
        <v>2.55</v>
      </c>
      <c r="F65" s="84">
        <f>2000/56*E65*'Cattle Returns'!C$5*'Cattle Returns'!C$4</f>
        <v>32.785714285714285</v>
      </c>
      <c r="G65" s="84">
        <v>60</v>
      </c>
      <c r="H65" s="84">
        <v>300</v>
      </c>
      <c r="I65" s="84">
        <f t="shared" si="0"/>
        <v>25.5</v>
      </c>
      <c r="J65" s="84">
        <v>320</v>
      </c>
      <c r="K65" s="84">
        <v>166.2</v>
      </c>
      <c r="L65" s="84">
        <v>8.25</v>
      </c>
      <c r="N65" s="107">
        <f>AVERAGE($E59:$E65)*'Assumptions and Rations'!G$28+AVERAGE($F59:$F65)*'Assumptions and Rations'!G$31+AVERAGE($G59:$G65)*'Assumptions and Rations'!G$29+AVERAGE($I59:$I65)*'Assumptions and Rations'!G$30+'Prices and Spreads'!J$11</f>
        <v>182.41813834853994</v>
      </c>
      <c r="O65" s="107">
        <f>AVERAGE($E61:$E65)*'Assumptions and Rations'!H$28+AVERAGE($F61:$F65)*'Assumptions and Rations'!H$31+AVERAGE($G61:$G65)*'Assumptions and Rations'!H$29+AVERAGE($I61:$I65)*'Assumptions and Rations'!H$30+'Prices and Spreads'!K$11</f>
        <v>166.43770188764208</v>
      </c>
      <c r="P65" s="107">
        <f>N65*0.5*$L58/100*7/12+'Prices and Spreads'!J$15*'Prices and Spreads'!J$7+'Prices and Spreads'!J$14+'Prices and Spreads'!J$12+'Prices and Spreads'!J$13*'Historic Prices'!B58*'Prices and Spreads'!J$4/100</f>
        <v>145.95317106939635</v>
      </c>
      <c r="Q65" s="107">
        <f>O65*0.5*$L60/100*5/12+'Prices and Spreads'!K$15*'Prices and Spreads'!K$7+'Prices and Spreads'!K$14+'Prices and Spreads'!K$12+'Prices and Spreads'!K$13*'Historic Prices'!D60*'Prices and Spreads'!K$4/100</f>
        <v>119.43362716786051</v>
      </c>
    </row>
    <row r="66" spans="1:17" ht="15">
      <c r="A66" s="93">
        <v>34335</v>
      </c>
      <c r="B66" s="84">
        <v>89.81</v>
      </c>
      <c r="C66" s="84">
        <v>83.38</v>
      </c>
      <c r="D66" s="84">
        <v>71.6</v>
      </c>
      <c r="E66" s="84">
        <v>2.75</v>
      </c>
      <c r="F66" s="84">
        <f>2000/56*E66*'Cattle Returns'!C$5*'Cattle Returns'!C$4</f>
        <v>35.35714285714286</v>
      </c>
      <c r="G66" s="84">
        <v>60</v>
      </c>
      <c r="H66" s="84">
        <v>300</v>
      </c>
      <c r="I66" s="84">
        <f t="shared" si="0"/>
        <v>27.5</v>
      </c>
      <c r="J66" s="84">
        <v>314</v>
      </c>
      <c r="K66" s="84">
        <v>166.2</v>
      </c>
      <c r="L66" s="84">
        <v>8.25</v>
      </c>
      <c r="N66" s="107">
        <f>AVERAGE($E60:$E66)*'Assumptions and Rations'!G$28+AVERAGE($F60:$F66)*'Assumptions and Rations'!G$31+AVERAGE($G60:$G66)*'Assumptions and Rations'!G$29+AVERAGE($I60:$I66)*'Assumptions and Rations'!G$30+'Prices and Spreads'!J$11</f>
        <v>190.38622854777694</v>
      </c>
      <c r="O66" s="107">
        <f>AVERAGE($E62:$E66)*'Assumptions and Rations'!H$28+AVERAGE($F62:$F66)*'Assumptions and Rations'!H$31+AVERAGE($G62:$G66)*'Assumptions and Rations'!H$29+AVERAGE($I62:$I66)*'Assumptions and Rations'!H$30+'Prices and Spreads'!K$11</f>
        <v>174.224821902693</v>
      </c>
      <c r="P66" s="107">
        <f>N66*0.5*$L59/100*7/12+'Prices and Spreads'!J$15*'Prices and Spreads'!J$7+'Prices and Spreads'!J$14+'Prices and Spreads'!J$12+'Prices and Spreads'!J$13*'Historic Prices'!B59*'Prices and Spreads'!J$4/100</f>
        <v>146.4336532398155</v>
      </c>
      <c r="Q66" s="107">
        <f>O66*0.5*$L61/100*5/12+'Prices and Spreads'!K$15*'Prices and Spreads'!K$7+'Prices and Spreads'!K$14+'Prices and Spreads'!K$12+'Prices and Spreads'!K$13*'Historic Prices'!D61*'Prices and Spreads'!K$4/100</f>
        <v>119.5550932931192</v>
      </c>
    </row>
    <row r="67" spans="1:17" ht="15">
      <c r="A67" s="93">
        <v>34366</v>
      </c>
      <c r="B67" s="84">
        <v>93.72</v>
      </c>
      <c r="C67" s="84">
        <v>81.7</v>
      </c>
      <c r="D67" s="84">
        <v>72.07</v>
      </c>
      <c r="E67" s="84">
        <v>2.76</v>
      </c>
      <c r="F67" s="84">
        <f>2000/56*E67*'Cattle Returns'!C$5*'Cattle Returns'!C$4</f>
        <v>35.48571428571429</v>
      </c>
      <c r="G67" s="84">
        <v>60</v>
      </c>
      <c r="H67" s="84">
        <v>300</v>
      </c>
      <c r="I67" s="84">
        <f t="shared" si="0"/>
        <v>27.599999999999998</v>
      </c>
      <c r="J67" s="84">
        <v>310.4</v>
      </c>
      <c r="K67" s="84">
        <v>166.2</v>
      </c>
      <c r="L67" s="84">
        <v>8.25</v>
      </c>
      <c r="N67" s="107">
        <f>AVERAGE($E61:$E67)*'Assumptions and Rations'!G$28+AVERAGE($F61:$F67)*'Assumptions and Rations'!G$31+AVERAGE($G61:$G67)*'Assumptions and Rations'!G$29+AVERAGE($I61:$I67)*'Assumptions and Rations'!G$30+'Prices and Spreads'!J$11</f>
        <v>196.76070070716656</v>
      </c>
      <c r="O67" s="107">
        <f>AVERAGE($E63:$E67)*'Assumptions and Rations'!H$28+AVERAGE($F63:$F67)*'Assumptions and Rations'!H$31+AVERAGE($G63:$G67)*'Assumptions and Rations'!H$29+AVERAGE($I63:$I67)*'Assumptions and Rations'!H$30+'Prices and Spreads'!K$11</f>
        <v>182.76553417726504</v>
      </c>
      <c r="P67" s="107">
        <f>N67*0.5*$L60/100*7/12+'Prices and Spreads'!J$15*'Prices and Spreads'!J$7+'Prices and Spreads'!J$14+'Prices and Spreads'!J$12+'Prices and Spreads'!J$13*'Historic Prices'!B60*'Prices and Spreads'!J$4/100</f>
        <v>146.2883889761508</v>
      </c>
      <c r="Q67" s="107">
        <f>O67*0.5*$L62/100*5/12+'Prices and Spreads'!K$15*'Prices and Spreads'!K$7+'Prices and Spreads'!K$14+'Prices and Spreads'!K$12+'Prices and Spreads'!K$13*'Historic Prices'!D62*'Prices and Spreads'!K$4/100</f>
        <v>119.6197617853384</v>
      </c>
    </row>
    <row r="68" spans="1:17" ht="15">
      <c r="A68" s="93">
        <v>34394</v>
      </c>
      <c r="B68" s="84">
        <v>97.7</v>
      </c>
      <c r="C68" s="84">
        <v>81.43</v>
      </c>
      <c r="D68" s="84">
        <v>74.47</v>
      </c>
      <c r="E68" s="84">
        <v>2.66</v>
      </c>
      <c r="F68" s="84">
        <f>2000/56*E68*'Cattle Returns'!C$5*'Cattle Returns'!C$4</f>
        <v>34.20000000000001</v>
      </c>
      <c r="G68" s="84">
        <v>60</v>
      </c>
      <c r="H68" s="84">
        <v>300</v>
      </c>
      <c r="I68" s="84">
        <f t="shared" si="0"/>
        <v>26.6</v>
      </c>
      <c r="J68" s="84">
        <v>308</v>
      </c>
      <c r="K68" s="84">
        <v>166.2</v>
      </c>
      <c r="L68" s="84">
        <v>8.25</v>
      </c>
      <c r="N68" s="107">
        <f>AVERAGE($E62:$E68)*'Assumptions and Rations'!G$28+AVERAGE($F62:$F68)*'Assumptions and Rations'!G$31+AVERAGE($G62:$G68)*'Assumptions and Rations'!G$29+AVERAGE($I62:$I68)*'Assumptions and Rations'!G$30+'Prices and Spreads'!J$11</f>
        <v>202.0395604641611</v>
      </c>
      <c r="O68" s="107">
        <f>AVERAGE($E64:$E68)*'Assumptions and Rations'!H$28+AVERAGE($F64:$F68)*'Assumptions and Rations'!H$31+AVERAGE($G64:$G68)*'Assumptions and Rations'!H$29+AVERAGE($I64:$I68)*'Assumptions and Rations'!H$30+'Prices and Spreads'!K$11</f>
        <v>188.66867354351334</v>
      </c>
      <c r="P68" s="107">
        <f>N68*0.5*$L61/100*7/12+'Prices and Spreads'!J$15*'Prices and Spreads'!J$7+'Prices and Spreads'!J$14+'Prices and Spreads'!J$12+'Prices and Spreads'!J$13*'Historic Prices'!B61*'Prices and Spreads'!J$4/100</f>
        <v>146.18771153905348</v>
      </c>
      <c r="Q68" s="107">
        <f>O68*0.5*$L63/100*5/12+'Prices and Spreads'!K$15*'Prices and Spreads'!K$7+'Prices and Spreads'!K$14+'Prices and Spreads'!K$12+'Prices and Spreads'!K$13*'Historic Prices'!D63*'Prices and Spreads'!K$4/100</f>
        <v>119.6059094931958</v>
      </c>
    </row>
    <row r="69" spans="1:17" ht="15">
      <c r="A69" s="93">
        <v>34425</v>
      </c>
      <c r="B69" s="84">
        <v>95.78</v>
      </c>
      <c r="C69" s="84">
        <v>80.84</v>
      </c>
      <c r="D69" s="84">
        <v>74.53</v>
      </c>
      <c r="E69" s="84">
        <v>2.51</v>
      </c>
      <c r="F69" s="84">
        <f>2000/56*E69*'Cattle Returns'!C$5*'Cattle Returns'!C$4</f>
        <v>32.27142857142857</v>
      </c>
      <c r="G69" s="84">
        <v>60</v>
      </c>
      <c r="H69" s="84">
        <v>300</v>
      </c>
      <c r="I69" s="84">
        <f t="shared" si="0"/>
        <v>25.099999999999998</v>
      </c>
      <c r="J69" s="84">
        <v>306.4</v>
      </c>
      <c r="K69" s="84">
        <v>168.2</v>
      </c>
      <c r="L69" s="84">
        <v>8.32</v>
      </c>
      <c r="N69" s="107">
        <f>AVERAGE($E63:$E69)*'Assumptions and Rations'!G$28+AVERAGE($F63:$F69)*'Assumptions and Rations'!G$31+AVERAGE($G63:$G69)*'Assumptions and Rations'!G$29+AVERAGE($I63:$I69)*'Assumptions and Rations'!G$30+'Prices and Spreads'!J$11</f>
        <v>206.32240894625102</v>
      </c>
      <c r="O69" s="107">
        <f>AVERAGE($E65:$E69)*'Assumptions and Rations'!H$28+AVERAGE($F65:$F69)*'Assumptions and Rations'!H$31+AVERAGE($G65:$G69)*'Assumptions and Rations'!H$29+AVERAGE($I65:$I69)*'Assumptions and Rations'!H$30+'Prices and Spreads'!K$11</f>
        <v>187.78948257407208</v>
      </c>
      <c r="P69" s="107">
        <f>N69*0.5*$L62/100*7/12+'Prices and Spreads'!J$15*'Prices and Spreads'!J$7+'Prices and Spreads'!J$14+'Prices and Spreads'!J$12+'Prices and Spreads'!J$13*'Historic Prices'!B62*'Prices and Spreads'!J$4/100</f>
        <v>146.21404258065377</v>
      </c>
      <c r="Q69" s="107">
        <f>O69*0.5*$L64/100*5/12+'Prices and Spreads'!K$15*'Prices and Spreads'!K$7+'Prices and Spreads'!K$14+'Prices and Spreads'!K$12+'Prices and Spreads'!K$13*'Historic Prices'!D64*'Prices and Spreads'!K$4/100</f>
        <v>119.61161089840853</v>
      </c>
    </row>
    <row r="70" spans="1:17" ht="15">
      <c r="A70" s="93">
        <v>34455</v>
      </c>
      <c r="B70" s="84">
        <v>87.44</v>
      </c>
      <c r="C70" s="84">
        <v>75.97</v>
      </c>
      <c r="D70" s="84">
        <v>67.58</v>
      </c>
      <c r="E70" s="84">
        <v>2.54</v>
      </c>
      <c r="F70" s="84">
        <f>2000/56*E70*'Cattle Returns'!C$5*'Cattle Returns'!C$4</f>
        <v>32.657142857142865</v>
      </c>
      <c r="G70" s="84">
        <v>60</v>
      </c>
      <c r="H70" s="84">
        <v>300</v>
      </c>
      <c r="I70" s="84">
        <f t="shared" si="0"/>
        <v>25.4</v>
      </c>
      <c r="J70" s="84">
        <v>308</v>
      </c>
      <c r="K70" s="84">
        <v>168.2</v>
      </c>
      <c r="L70" s="84">
        <v>8.63</v>
      </c>
      <c r="N70" s="107">
        <f>AVERAGE($E64:$E70)*'Assumptions and Rations'!G$28+AVERAGE($F64:$F70)*'Assumptions and Rations'!G$31+AVERAGE($G64:$G70)*'Assumptions and Rations'!G$29+AVERAGE($I64:$I70)*'Assumptions and Rations'!G$30+'Prices and Spreads'!J$11</f>
        <v>209.80844840841718</v>
      </c>
      <c r="O70" s="107">
        <f>AVERAGE($E66:$E70)*'Assumptions and Rations'!H$28+AVERAGE($F66:$F70)*'Assumptions and Rations'!H$31+AVERAGE($G66:$G70)*'Assumptions and Rations'!H$29+AVERAGE($I66:$I70)*'Assumptions and Rations'!H$30+'Prices and Spreads'!K$11</f>
        <v>187.66388386415193</v>
      </c>
      <c r="P70" s="107">
        <f>N70*0.5*$L63/100*7/12+'Prices and Spreads'!J$15*'Prices and Spreads'!J$7+'Prices and Spreads'!J$14+'Prices and Spreads'!J$12+'Prices and Spreads'!J$13*'Historic Prices'!B63*'Prices and Spreads'!J$4/100</f>
        <v>145.94235040521215</v>
      </c>
      <c r="Q70" s="107">
        <f>O70*0.5*$L65/100*5/12+'Prices and Spreads'!K$15*'Prices and Spreads'!K$7+'Prices and Spreads'!K$14+'Prices and Spreads'!K$12+'Prices and Spreads'!K$13*'Historic Prices'!D65*'Prices and Spreads'!K$4/100</f>
        <v>119.59145217058177</v>
      </c>
    </row>
    <row r="71" spans="1:17" ht="15">
      <c r="A71" s="93">
        <v>34486</v>
      </c>
      <c r="B71" s="84">
        <v>84.99</v>
      </c>
      <c r="C71" s="84">
        <v>75.29</v>
      </c>
      <c r="D71" s="84">
        <v>62.83</v>
      </c>
      <c r="E71" s="84">
        <v>2.59</v>
      </c>
      <c r="F71" s="84">
        <f>2000/56*E71*'Cattle Returns'!C$5*'Cattle Returns'!C$4</f>
        <v>33.300000000000004</v>
      </c>
      <c r="G71" s="84">
        <v>60</v>
      </c>
      <c r="H71" s="84">
        <v>300</v>
      </c>
      <c r="I71" s="84">
        <f aca="true" t="shared" si="1" ref="I71:I134">10*E71</f>
        <v>25.9</v>
      </c>
      <c r="J71" s="84">
        <v>308.5</v>
      </c>
      <c r="K71" s="84">
        <v>174</v>
      </c>
      <c r="L71" s="84">
        <v>9.27</v>
      </c>
      <c r="N71" s="107">
        <f>AVERAGE($E65:$E71)*'Assumptions and Rations'!G$28+AVERAGE($F65:$F71)*'Assumptions and Rations'!G$31+AVERAGE($G65:$G71)*'Assumptions and Rations'!G$29+AVERAGE($I65:$I71)*'Assumptions and Rations'!G$30+'Prices and Spreads'!J$11</f>
        <v>209.90804953590762</v>
      </c>
      <c r="O71" s="107">
        <f>AVERAGE($E67:$E71)*'Assumptions and Rations'!H$28+AVERAGE($F67:$F71)*'Assumptions and Rations'!H$31+AVERAGE($G67:$G71)*'Assumptions and Rations'!H$29+AVERAGE($I67:$I71)*'Assumptions and Rations'!H$30+'Prices and Spreads'!K$11</f>
        <v>185.65430450542908</v>
      </c>
      <c r="P71" s="107">
        <f>N71*0.5*$L64/100*7/12+'Prices and Spreads'!J$15*'Prices and Spreads'!J$7+'Prices and Spreads'!J$14+'Prices and Spreads'!J$12+'Prices and Spreads'!J$13*'Historic Prices'!B64*'Prices and Spreads'!J$4/100</f>
        <v>145.76489705734238</v>
      </c>
      <c r="Q71" s="107">
        <f>O71*0.5*$L66/100*5/12+'Prices and Spreads'!K$15*'Prices and Spreads'!K$7+'Prices and Spreads'!K$14+'Prices and Spreads'!K$12+'Prices and Spreads'!K$13*'Historic Prices'!D66*'Prices and Spreads'!K$4/100</f>
        <v>119.63510002535372</v>
      </c>
    </row>
    <row r="72" spans="1:17" ht="15">
      <c r="A72" s="93">
        <v>34516</v>
      </c>
      <c r="B72" s="84">
        <v>87.65</v>
      </c>
      <c r="C72" s="84">
        <v>78.72</v>
      </c>
      <c r="D72" s="84">
        <v>64.84</v>
      </c>
      <c r="E72" s="84">
        <v>2.11</v>
      </c>
      <c r="F72" s="84">
        <f>2000/56*E72*'Cattle Returns'!C$5*'Cattle Returns'!C$4</f>
        <v>27.128571428571433</v>
      </c>
      <c r="G72" s="84">
        <v>60</v>
      </c>
      <c r="H72" s="84">
        <v>300</v>
      </c>
      <c r="I72" s="84">
        <f t="shared" si="1"/>
        <v>21.099999999999998</v>
      </c>
      <c r="J72" s="84">
        <v>301.5</v>
      </c>
      <c r="K72" s="84">
        <v>174</v>
      </c>
      <c r="L72" s="84">
        <v>9.39</v>
      </c>
      <c r="N72" s="107">
        <f>AVERAGE($E66:$E72)*'Assumptions and Rations'!G$28+AVERAGE($F66:$F72)*'Assumptions and Rations'!G$31+AVERAGE($G66:$G72)*'Assumptions and Rations'!G$29+AVERAGE($I66:$I72)*'Assumptions and Rations'!G$30+'Prices and Spreads'!J$11</f>
        <v>205.5255999263273</v>
      </c>
      <c r="O72" s="107">
        <f>AVERAGE($E68:$E72)*'Assumptions and Rations'!H$28+AVERAGE($F68:$F72)*'Assumptions and Rations'!H$31+AVERAGE($G68:$G72)*'Assumptions and Rations'!H$29+AVERAGE($I68:$I72)*'Assumptions and Rations'!H$30+'Prices and Spreads'!K$11</f>
        <v>177.49038836061766</v>
      </c>
      <c r="P72" s="107">
        <f>N72*0.5*$L65/100*7/12+'Prices and Spreads'!J$15*'Prices and Spreads'!J$7+'Prices and Spreads'!J$14+'Prices and Spreads'!J$12+'Prices and Spreads'!J$13*'Historic Prices'!B65*'Prices and Spreads'!J$4/100</f>
        <v>145.75184436361184</v>
      </c>
      <c r="Q72" s="107">
        <f>O72*0.5*$L67/100*5/12+'Prices and Spreads'!K$15*'Prices and Spreads'!K$7+'Prices and Spreads'!K$14+'Prices and Spreads'!K$12+'Prices and Spreads'!K$13*'Historic Prices'!D67*'Prices and Spreads'!K$4/100</f>
        <v>119.52122021661478</v>
      </c>
    </row>
    <row r="73" spans="1:17" ht="15">
      <c r="A73" s="93">
        <v>34547</v>
      </c>
      <c r="B73" s="84">
        <v>87.18</v>
      </c>
      <c r="C73" s="84">
        <v>78.42</v>
      </c>
      <c r="D73" s="84">
        <v>66.18</v>
      </c>
      <c r="E73" s="84">
        <v>2.01</v>
      </c>
      <c r="F73" s="84">
        <f>2000/56*E73*'Cattle Returns'!C$5*'Cattle Returns'!C$4</f>
        <v>25.84285714285714</v>
      </c>
      <c r="G73" s="84">
        <v>60</v>
      </c>
      <c r="H73" s="84">
        <v>300</v>
      </c>
      <c r="I73" s="84">
        <f t="shared" si="1"/>
        <v>20.099999999999998</v>
      </c>
      <c r="J73" s="84">
        <v>292</v>
      </c>
      <c r="K73" s="84">
        <v>174</v>
      </c>
      <c r="L73" s="84">
        <v>9.39</v>
      </c>
      <c r="N73" s="107">
        <f>AVERAGE($E67:$E73)*'Assumptions and Rations'!G$28+AVERAGE($F67:$F73)*'Assumptions and Rations'!G$31+AVERAGE($G67:$G73)*'Assumptions and Rations'!G$29+AVERAGE($I67:$I73)*'Assumptions and Rations'!G$30+'Prices and Spreads'!J$11</f>
        <v>198.15511649203305</v>
      </c>
      <c r="O73" s="107">
        <f>AVERAGE($E69:$E73)*'Assumptions and Rations'!H$28+AVERAGE($F69:$F73)*'Assumptions and Rations'!H$31+AVERAGE($G69:$G73)*'Assumptions and Rations'!H$29+AVERAGE($I69:$I73)*'Assumptions and Rations'!H$30+'Prices and Spreads'!K$11</f>
        <v>169.32647221580615</v>
      </c>
      <c r="P73" s="107">
        <f>N73*0.5*$L66/100*7/12+'Prices and Spreads'!J$15*'Prices and Spreads'!J$7+'Prices and Spreads'!J$14+'Prices and Spreads'!J$12+'Prices and Spreads'!J$13*'Historic Prices'!B66*'Prices and Spreads'!J$4/100</f>
        <v>145.49281710597415</v>
      </c>
      <c r="Q73" s="107">
        <f>O73*0.5*$L68/100*5/12+'Prices and Spreads'!K$15*'Prices and Spreads'!K$7+'Prices and Spreads'!K$14+'Prices and Spreads'!K$12+'Prices and Spreads'!K$13*'Historic Prices'!D68*'Prices and Spreads'!K$4/100</f>
        <v>119.51590290787583</v>
      </c>
    </row>
    <row r="74" spans="1:17" ht="15">
      <c r="A74" s="93">
        <v>34578</v>
      </c>
      <c r="B74" s="84">
        <v>80.04</v>
      </c>
      <c r="C74" s="84">
        <v>74.54</v>
      </c>
      <c r="D74" s="84">
        <v>65.18</v>
      </c>
      <c r="E74" s="84">
        <v>1.97</v>
      </c>
      <c r="F74" s="84">
        <f>2000/56*E74*'Cattle Returns'!C$5*'Cattle Returns'!C$4</f>
        <v>25.328571428571433</v>
      </c>
      <c r="G74" s="84">
        <v>60</v>
      </c>
      <c r="H74" s="84">
        <v>300</v>
      </c>
      <c r="I74" s="84">
        <f t="shared" si="1"/>
        <v>19.7</v>
      </c>
      <c r="J74" s="84">
        <v>292</v>
      </c>
      <c r="K74" s="84">
        <v>174.8</v>
      </c>
      <c r="L74" s="84">
        <v>9.39</v>
      </c>
      <c r="N74" s="107">
        <f>AVERAGE($E68:$E74)*'Assumptions and Rations'!G$28+AVERAGE($F68:$F74)*'Assumptions and Rations'!G$31+AVERAGE($G68:$G74)*'Assumptions and Rations'!G$29+AVERAGE($I68:$I74)*'Assumptions and Rations'!G$30+'Prices and Spreads'!J$11</f>
        <v>190.28662742028652</v>
      </c>
      <c r="O74" s="107">
        <f>AVERAGE($E70:$E74)*'Assumptions and Rations'!H$28+AVERAGE($F70:$F74)*'Assumptions and Rations'!H$31+AVERAGE($G70:$G74)*'Assumptions and Rations'!H$29+AVERAGE($I70:$I74)*'Assumptions and Rations'!H$30+'Prices and Spreads'!K$11</f>
        <v>162.54414188011663</v>
      </c>
      <c r="P74" s="107">
        <f>N74*0.5*$L67/100*7/12+'Prices and Spreads'!J$15*'Prices and Spreads'!J$7+'Prices and Spreads'!J$14+'Prices and Spreads'!J$12+'Prices and Spreads'!J$13*'Historic Prices'!B67*'Prices and Spreads'!J$4/100</f>
        <v>145.62605658768524</v>
      </c>
      <c r="Q74" s="107">
        <f>O74*0.5*$L69/100*5/12+'Prices and Spreads'!K$15*'Prices and Spreads'!K$7+'Prices and Spreads'!K$14+'Prices and Spreads'!K$12+'Prices and Spreads'!K$13*'Historic Prices'!D69*'Prices and Spreads'!K$4/100</f>
        <v>119.42641095925535</v>
      </c>
    </row>
    <row r="75" spans="1:17" ht="15">
      <c r="A75" s="93">
        <v>34608</v>
      </c>
      <c r="B75" s="84">
        <v>80.19</v>
      </c>
      <c r="C75" s="84">
        <v>73.17</v>
      </c>
      <c r="D75" s="84">
        <v>65.74</v>
      </c>
      <c r="E75" s="84">
        <v>1.87</v>
      </c>
      <c r="F75" s="84">
        <f>2000/56*E75*'Cattle Returns'!C$5*'Cattle Returns'!C$4</f>
        <v>24.042857142857144</v>
      </c>
      <c r="G75" s="84">
        <v>60</v>
      </c>
      <c r="H75" s="84">
        <v>300</v>
      </c>
      <c r="I75" s="84">
        <f t="shared" si="1"/>
        <v>18.700000000000003</v>
      </c>
      <c r="J75" s="84">
        <v>288</v>
      </c>
      <c r="K75" s="84">
        <v>175.2</v>
      </c>
      <c r="L75" s="84">
        <v>9.65</v>
      </c>
      <c r="N75" s="107">
        <f>AVERAGE($E69:$E75)*'Assumptions and Rations'!G$28+AVERAGE($F69:$F75)*'Assumptions and Rations'!G$31+AVERAGE($G69:$G75)*'Assumptions and Rations'!G$29+AVERAGE($I69:$I75)*'Assumptions and Rations'!G$30+'Prices and Spreads'!J$11</f>
        <v>182.41813834853994</v>
      </c>
      <c r="O75" s="107">
        <f>AVERAGE($E71:$E75)*'Assumptions and Rations'!H$28+AVERAGE($F71:$F75)*'Assumptions and Rations'!H$31+AVERAGE($G71:$G75)*'Assumptions and Rations'!H$29+AVERAGE($I71:$I75)*'Assumptions and Rations'!H$30+'Prices and Spreads'!K$11</f>
        <v>154.1290283154648</v>
      </c>
      <c r="P75" s="107">
        <f>N75*0.5*$L68/100*7/12+'Prices and Spreads'!J$15*'Prices and Spreads'!J$7+'Prices and Spreads'!J$14+'Prices and Spreads'!J$12+'Prices and Spreads'!J$13*'Historic Prices'!B68*'Prices and Spreads'!J$4/100</f>
        <v>145.76507106939636</v>
      </c>
      <c r="Q75" s="107">
        <f>O75*0.5*$L70/100*5/12+'Prices and Spreads'!K$15*'Prices and Spreads'!K$7+'Prices and Spreads'!K$14+'Prices and Spreads'!K$12+'Prices and Spreads'!K$13*'Historic Prices'!D70*'Prices and Spreads'!K$4/100</f>
        <v>118.9891531549218</v>
      </c>
    </row>
    <row r="76" spans="1:17" ht="15">
      <c r="A76" s="93">
        <v>34639</v>
      </c>
      <c r="B76" s="84">
        <v>84.02</v>
      </c>
      <c r="C76" s="84">
        <v>75.94</v>
      </c>
      <c r="D76" s="84">
        <v>67.86</v>
      </c>
      <c r="E76" s="84">
        <v>1.91</v>
      </c>
      <c r="F76" s="84">
        <f>2000/56*E76*'Cattle Returns'!C$5*'Cattle Returns'!C$4</f>
        <v>24.557142857142857</v>
      </c>
      <c r="G76" s="84">
        <v>60</v>
      </c>
      <c r="H76" s="84">
        <v>300</v>
      </c>
      <c r="I76" s="84">
        <f t="shared" si="1"/>
        <v>19.099999999999998</v>
      </c>
      <c r="J76" s="84">
        <v>280</v>
      </c>
      <c r="K76" s="84">
        <v>175.2</v>
      </c>
      <c r="L76" s="84">
        <v>10.02</v>
      </c>
      <c r="N76" s="107">
        <f>AVERAGE($E70:$E76)*'Assumptions and Rations'!G$28+AVERAGE($F70:$F76)*'Assumptions and Rations'!G$31+AVERAGE($G70:$G76)*'Assumptions and Rations'!G$29+AVERAGE($I70:$I76)*'Assumptions and Rations'!G$30+'Prices and Spreads'!J$11</f>
        <v>176.44207069911218</v>
      </c>
      <c r="O76" s="107">
        <f>AVERAGE($E72:$E76)*'Assumptions and Rations'!H$28+AVERAGE($F72:$F76)*'Assumptions and Rations'!H$31+AVERAGE($G72:$G76)*'Assumptions and Rations'!H$29+AVERAGE($I72:$I76)*'Assumptions and Rations'!H$30+'Prices and Spreads'!K$11</f>
        <v>145.58831604089278</v>
      </c>
      <c r="P76" s="107">
        <f>N76*0.5*$L69/100*7/12+'Prices and Spreads'!J$15*'Prices and Spreads'!J$7+'Prices and Spreads'!J$14+'Prices and Spreads'!J$12+'Prices and Spreads'!J$13*'Historic Prices'!B69*'Prices and Spreads'!J$4/100</f>
        <v>145.4988955310164</v>
      </c>
      <c r="Q76" s="107">
        <f>O76*0.5*$L71/100*5/12+'Prices and Spreads'!K$15*'Prices and Spreads'!K$7+'Prices and Spreads'!K$14+'Prices and Spreads'!K$12+'Prices and Spreads'!K$13*'Historic Prices'!D71*'Prices and Spreads'!K$4/100</f>
        <v>118.7625285202064</v>
      </c>
    </row>
    <row r="77" spans="1:17" ht="15">
      <c r="A77" s="93">
        <v>34669</v>
      </c>
      <c r="B77" s="84">
        <v>84.5</v>
      </c>
      <c r="C77" s="84">
        <v>77.05</v>
      </c>
      <c r="D77" s="84">
        <v>67.75</v>
      </c>
      <c r="E77" s="84">
        <v>2.06</v>
      </c>
      <c r="F77" s="84">
        <f>2000/56*E77*'Cattle Returns'!C$5*'Cattle Returns'!C$4</f>
        <v>26.485714285714284</v>
      </c>
      <c r="G77" s="84">
        <v>60</v>
      </c>
      <c r="H77" s="84">
        <v>300</v>
      </c>
      <c r="I77" s="84">
        <f t="shared" si="1"/>
        <v>20.6</v>
      </c>
      <c r="J77" s="84">
        <v>274.5</v>
      </c>
      <c r="K77" s="84">
        <v>175.2</v>
      </c>
      <c r="L77" s="84">
        <v>10.41</v>
      </c>
      <c r="N77" s="107">
        <f>AVERAGE($E71:$E77)*'Assumptions and Rations'!G$28+AVERAGE($F71:$F77)*'Assumptions and Rations'!G$31+AVERAGE($G71:$G77)*'Assumptions and Rations'!G$29+AVERAGE($I71:$I77)*'Assumptions and Rations'!G$30+'Prices and Spreads'!J$11</f>
        <v>171.66121657956998</v>
      </c>
      <c r="O77" s="107">
        <f>AVERAGE($E73:$E77)*'Assumptions and Rations'!H$28+AVERAGE($F73:$F77)*'Assumptions and Rations'!H$31+AVERAGE($G73:$G77)*'Assumptions and Rations'!H$29+AVERAGE($I73:$I77)*'Assumptions and Rations'!H$30+'Prices and Spreads'!K$11</f>
        <v>144.96032249129186</v>
      </c>
      <c r="P77" s="107">
        <f>N77*0.5*$L70/100*7/12+'Prices and Spreads'!J$15*'Prices and Spreads'!J$7+'Prices and Spreads'!J$14+'Prices and Spreads'!J$12+'Prices and Spreads'!J$13*'Historic Prices'!B70*'Prices and Spreads'!J$4/100</f>
        <v>144.8500404877062</v>
      </c>
      <c r="Q77" s="107">
        <f>O77*0.5*$L72/100*5/12+'Prices and Spreads'!K$15*'Prices and Spreads'!K$7+'Prices and Spreads'!K$14+'Prices and Spreads'!K$12+'Prices and Spreads'!K$13*'Historic Prices'!D72*'Prices and Spreads'!K$4/100</f>
        <v>118.89970297540255</v>
      </c>
    </row>
    <row r="78" spans="1:17" ht="15">
      <c r="A78" s="93">
        <v>34700</v>
      </c>
      <c r="B78" s="84">
        <v>84.83</v>
      </c>
      <c r="C78" s="84">
        <v>77.03</v>
      </c>
      <c r="D78" s="84">
        <v>71.82</v>
      </c>
      <c r="E78" s="84">
        <v>2.07</v>
      </c>
      <c r="F78" s="84">
        <f>2000/56*E78*'Cattle Returns'!C$5*'Cattle Returns'!C$4</f>
        <v>26.614285714285717</v>
      </c>
      <c r="G78" s="84">
        <v>60</v>
      </c>
      <c r="H78" s="84">
        <v>300</v>
      </c>
      <c r="I78" s="84">
        <f t="shared" si="1"/>
        <v>20.7</v>
      </c>
      <c r="J78" s="84">
        <v>275.2</v>
      </c>
      <c r="K78" s="84">
        <v>187.3</v>
      </c>
      <c r="L78" s="84">
        <v>10.41</v>
      </c>
      <c r="N78" s="107">
        <f>AVERAGE($E72:$E78)*'Assumptions and Rations'!G$28+AVERAGE($F72:$F78)*'Assumptions and Rations'!G$31+AVERAGE($G72:$G78)*'Assumptions and Rations'!G$29+AVERAGE($I72:$I78)*'Assumptions and Rations'!G$30+'Prices and Spreads'!J$11</f>
        <v>166.48195795006592</v>
      </c>
      <c r="O78" s="107">
        <f>AVERAGE($E74:$E78)*'Assumptions and Rations'!H$28+AVERAGE($F74:$F78)*'Assumptions and Rations'!H$31+AVERAGE($G74:$G78)*'Assumptions and Rations'!H$29+AVERAGE($I74:$I78)*'Assumptions and Rations'!H$30+'Prices and Spreads'!K$11</f>
        <v>145.71391475081296</v>
      </c>
      <c r="P78" s="107">
        <f>N78*0.5*$L71/100*7/12+'Prices and Spreads'!J$15*'Prices and Spreads'!J$7+'Prices and Spreads'!J$14+'Prices and Spreads'!J$12+'Prices and Spreads'!J$13*'Historic Prices'!B71*'Prices and Spreads'!J$4/100</f>
        <v>144.8283155534595</v>
      </c>
      <c r="Q78" s="107">
        <f>O78*0.5*$L73/100*5/12+'Prices and Spreads'!K$15*'Prices and Spreads'!K$7+'Prices and Spreads'!K$14+'Prices and Spreads'!K$12+'Prices and Spreads'!K$13*'Historic Prices'!D73*'Prices and Spreads'!K$4/100</f>
        <v>118.98982012397943</v>
      </c>
    </row>
    <row r="79" spans="1:17" ht="15">
      <c r="A79" s="93">
        <v>34731</v>
      </c>
      <c r="B79" s="84">
        <v>85.17</v>
      </c>
      <c r="C79" s="84">
        <v>73.19</v>
      </c>
      <c r="D79" s="84">
        <v>72.11</v>
      </c>
      <c r="E79" s="84">
        <v>2.11</v>
      </c>
      <c r="F79" s="84">
        <f>2000/56*E79*'Cattle Returns'!C$5*'Cattle Returns'!C$4</f>
        <v>27.128571428571433</v>
      </c>
      <c r="G79" s="84">
        <v>60</v>
      </c>
      <c r="H79" s="84">
        <v>300</v>
      </c>
      <c r="I79" s="84">
        <f t="shared" si="1"/>
        <v>21.099999999999998</v>
      </c>
      <c r="J79" s="84">
        <v>271</v>
      </c>
      <c r="K79" s="84">
        <v>187.3</v>
      </c>
      <c r="L79" s="84">
        <v>10.66</v>
      </c>
      <c r="N79" s="107">
        <f>AVERAGE($E73:$E79)*'Assumptions and Rations'!G$28+AVERAGE($F73:$F79)*'Assumptions and Rations'!G$31+AVERAGE($G73:$G79)*'Assumptions and Rations'!G$29+AVERAGE($I73:$I79)*'Assumptions and Rations'!G$30+'Prices and Spreads'!J$11</f>
        <v>166.48195795006592</v>
      </c>
      <c r="O79" s="107">
        <f>AVERAGE($E75:$E79)*'Assumptions and Rations'!H$28+AVERAGE($F75:$F79)*'Assumptions and Rations'!H$31+AVERAGE($G75:$G79)*'Assumptions and Rations'!H$29+AVERAGE($I75:$I79)*'Assumptions and Rations'!H$30+'Prices and Spreads'!K$11</f>
        <v>147.4722966896954</v>
      </c>
      <c r="P79" s="107">
        <f>N79*0.5*$L72/100*7/12+'Prices and Spreads'!J$15*'Prices and Spreads'!J$7+'Prices and Spreads'!J$14+'Prices and Spreads'!J$12+'Prices and Spreads'!J$13*'Historic Prices'!B72*'Prices and Spreads'!J$4/100</f>
        <v>145.10603423874204</v>
      </c>
      <c r="Q79" s="107">
        <f>O79*0.5*$L74/100*5/12+'Prices and Spreads'!K$15*'Prices and Spreads'!K$7+'Prices and Spreads'!K$14+'Prices and Spreads'!K$12+'Prices and Spreads'!K$13*'Historic Prices'!D74*'Prices and Spreads'!K$4/100</f>
        <v>118.96796847065883</v>
      </c>
    </row>
    <row r="80" spans="1:17" ht="15">
      <c r="A80" s="93">
        <v>34759</v>
      </c>
      <c r="B80" s="84">
        <v>83.65</v>
      </c>
      <c r="C80" s="84">
        <v>69.95</v>
      </c>
      <c r="D80" s="84">
        <v>69.28</v>
      </c>
      <c r="E80" s="84">
        <v>2.19</v>
      </c>
      <c r="F80" s="84">
        <f>2000/56*E80*'Cattle Returns'!C$5*'Cattle Returns'!C$4</f>
        <v>28.15714285714286</v>
      </c>
      <c r="G80" s="84">
        <v>60</v>
      </c>
      <c r="H80" s="84">
        <v>300</v>
      </c>
      <c r="I80" s="84">
        <f t="shared" si="1"/>
        <v>21.9</v>
      </c>
      <c r="J80" s="84">
        <v>274</v>
      </c>
      <c r="K80" s="84">
        <v>174.6</v>
      </c>
      <c r="L80" s="84">
        <v>10.66</v>
      </c>
      <c r="N80" s="107">
        <f>AVERAGE($E74:$E80)*'Assumptions and Rations'!G$28+AVERAGE($F74:$F80)*'Assumptions and Rations'!G$31+AVERAGE($G74:$G80)*'Assumptions and Rations'!G$29+AVERAGE($I74:$I80)*'Assumptions and Rations'!G$30+'Prices and Spreads'!J$11</f>
        <v>168.27477824489424</v>
      </c>
      <c r="O80" s="107">
        <f>AVERAGE($E76:$E80)*'Assumptions and Rations'!H$28+AVERAGE($F76:$F80)*'Assumptions and Rations'!H$31+AVERAGE($G76:$G80)*'Assumptions and Rations'!H$29+AVERAGE($I76:$I80)*'Assumptions and Rations'!H$30+'Prices and Spreads'!K$11</f>
        <v>151.49145540714107</v>
      </c>
      <c r="P80" s="107">
        <f>N80*0.5*$L73/100*7/12+'Prices and Spreads'!J$15*'Prices and Spreads'!J$7+'Prices and Spreads'!J$14+'Prices and Spreads'!J$12+'Prices and Spreads'!J$13*'Historic Prices'!B73*'Prices and Spreads'!J$4/100</f>
        <v>145.11636010456667</v>
      </c>
      <c r="Q80" s="107">
        <f>O80*0.5*$L75/100*5/12+'Prices and Spreads'!K$15*'Prices and Spreads'!K$7+'Prices and Spreads'!K$14+'Prices and Spreads'!K$12+'Prices and Spreads'!K$13*'Historic Prices'!D75*'Prices and Spreads'!K$4/100</f>
        <v>119.16015113474772</v>
      </c>
    </row>
    <row r="81" spans="1:17" ht="15">
      <c r="A81" s="93">
        <v>34790</v>
      </c>
      <c r="B81" s="84">
        <v>81.13</v>
      </c>
      <c r="C81" s="84">
        <v>66.33</v>
      </c>
      <c r="D81" s="84">
        <v>66.46</v>
      </c>
      <c r="E81" s="84">
        <v>2.25</v>
      </c>
      <c r="F81" s="84">
        <f>2000/56*E81*'Cattle Returns'!C$5*'Cattle Returns'!C$4</f>
        <v>28.928571428571434</v>
      </c>
      <c r="G81" s="84">
        <v>60</v>
      </c>
      <c r="H81" s="84">
        <v>300</v>
      </c>
      <c r="I81" s="84">
        <f t="shared" si="1"/>
        <v>22.5</v>
      </c>
      <c r="J81" s="84">
        <v>276.5</v>
      </c>
      <c r="K81" s="84">
        <v>161.9</v>
      </c>
      <c r="L81" s="84">
        <v>10.66</v>
      </c>
      <c r="N81" s="107">
        <f>AVERAGE($E75:$E81)*'Assumptions and Rations'!G$28+AVERAGE($F75:$F81)*'Assumptions and Rations'!G$31+AVERAGE($G75:$G81)*'Assumptions and Rations'!G$29+AVERAGE($I75:$I81)*'Assumptions and Rations'!G$30+'Prices and Spreads'!J$11</f>
        <v>171.06360981462717</v>
      </c>
      <c r="O81" s="107">
        <f>AVERAGE($E77:$E81)*'Assumptions and Rations'!H$28+AVERAGE($F77:$F81)*'Assumptions and Rations'!H$31+AVERAGE($G77:$G81)*'Assumptions and Rations'!H$29+AVERAGE($I77:$I81)*'Assumptions and Rations'!H$30+'Prices and Spreads'!K$11</f>
        <v>155.76181154442705</v>
      </c>
      <c r="P81" s="107">
        <f>N81*0.5*$L74/100*7/12+'Prices and Spreads'!J$15*'Prices and Spreads'!J$7+'Prices and Spreads'!J$14+'Prices and Spreads'!J$12+'Prices and Spreads'!J$13*'Historic Prices'!B74*'Prices and Spreads'!J$4/100</f>
        <v>144.6036892291827</v>
      </c>
      <c r="Q81" s="107">
        <f>O81*0.5*$L76/100*5/12+'Prices and Spreads'!K$15*'Prices and Spreads'!K$7+'Prices and Spreads'!K$14+'Prices and Spreads'!K$12+'Prices and Spreads'!K$13*'Historic Prices'!D76*'Prices and Spreads'!K$4/100</f>
        <v>119.48531948265658</v>
      </c>
    </row>
    <row r="82" spans="1:17" ht="15">
      <c r="A82" s="93">
        <v>34820</v>
      </c>
      <c r="B82" s="84">
        <v>76.29</v>
      </c>
      <c r="C82" s="84">
        <v>65.37</v>
      </c>
      <c r="D82" s="84">
        <v>63.42</v>
      </c>
      <c r="E82" s="84">
        <v>2.31</v>
      </c>
      <c r="F82" s="84">
        <f>2000/56*E82*'Cattle Returns'!C$5*'Cattle Returns'!C$4</f>
        <v>29.700000000000003</v>
      </c>
      <c r="G82" s="84">
        <v>60</v>
      </c>
      <c r="H82" s="84">
        <v>300</v>
      </c>
      <c r="I82" s="84">
        <f t="shared" si="1"/>
        <v>23.1</v>
      </c>
      <c r="J82" s="84">
        <v>286.4</v>
      </c>
      <c r="K82" s="84">
        <v>161.9</v>
      </c>
      <c r="L82" s="84">
        <v>10.66</v>
      </c>
      <c r="N82" s="107">
        <f>AVERAGE($E76:$E82)*'Assumptions and Rations'!G$28+AVERAGE($F76:$F82)*'Assumptions and Rations'!G$31+AVERAGE($G76:$G82)*'Assumptions and Rations'!G$29+AVERAGE($I76:$I82)*'Assumptions and Rations'!G$30+'Prices and Spreads'!J$11</f>
        <v>175.44605942420756</v>
      </c>
      <c r="O82" s="107">
        <f>AVERAGE($E78:$E82)*'Assumptions and Rations'!H$28+AVERAGE($F78:$F82)*'Assumptions and Rations'!H$31+AVERAGE($G78:$G82)*'Assumptions and Rations'!H$29+AVERAGE($I78:$I82)*'Assumptions and Rations'!H$30+'Prices and Spreads'!K$11</f>
        <v>158.90177929243148</v>
      </c>
      <c r="P82" s="107">
        <f>N82*0.5*$L75/100*7/12+'Prices and Spreads'!J$15*'Prices and Spreads'!J$7+'Prices and Spreads'!J$14+'Prices and Spreads'!J$12+'Prices and Spreads'!J$13*'Historic Prices'!B75*'Prices and Spreads'!J$4/100</f>
        <v>144.86913516292847</v>
      </c>
      <c r="Q82" s="107">
        <f>O82*0.5*$L77/100*5/12+'Prices and Spreads'!K$15*'Prices and Spreads'!K$7+'Prices and Spreads'!K$14+'Prices and Spreads'!K$12+'Prices and Spreads'!K$13*'Historic Prices'!D77*'Prices and Spreads'!K$4/100</f>
        <v>119.67378650507126</v>
      </c>
    </row>
    <row r="83" spans="1:17" ht="15">
      <c r="A83" s="93">
        <v>34851</v>
      </c>
      <c r="B83" s="84">
        <v>74.69</v>
      </c>
      <c r="C83" s="84">
        <v>67.23</v>
      </c>
      <c r="D83" s="84">
        <v>63.57</v>
      </c>
      <c r="E83" s="84">
        <v>2.52</v>
      </c>
      <c r="F83" s="84">
        <f>2000/56*E83*'Cattle Returns'!C$5*'Cattle Returns'!C$4</f>
        <v>32.4</v>
      </c>
      <c r="G83" s="84">
        <v>60</v>
      </c>
      <c r="H83" s="84">
        <v>300</v>
      </c>
      <c r="I83" s="84">
        <f t="shared" si="1"/>
        <v>25.2</v>
      </c>
      <c r="J83" s="84">
        <v>282</v>
      </c>
      <c r="K83" s="84">
        <v>161.9</v>
      </c>
      <c r="L83" s="84">
        <v>10.66</v>
      </c>
      <c r="N83" s="107">
        <f>AVERAGE($E77:$E83)*'Assumptions and Rations'!G$28+AVERAGE($F77:$F83)*'Assumptions and Rations'!G$31+AVERAGE($G77:$G83)*'Assumptions and Rations'!G$29+AVERAGE($I77:$I83)*'Assumptions and Rations'!G$30+'Prices and Spreads'!J$11</f>
        <v>181.52172820112577</v>
      </c>
      <c r="O83" s="107">
        <f>AVERAGE($E79:$E83)*'Assumptions and Rations'!H$28+AVERAGE($F79:$F83)*'Assumptions and Rations'!H$31+AVERAGE($G79:$G83)*'Assumptions and Rations'!H$29+AVERAGE($I79:$I83)*'Assumptions and Rations'!H$30+'Prices and Spreads'!K$11</f>
        <v>164.55372123883942</v>
      </c>
      <c r="P83" s="107">
        <f>N83*0.5*$L76/100*7/12+'Prices and Spreads'!J$15*'Prices and Spreads'!J$7+'Prices and Spreads'!J$14+'Prices and Spreads'!J$12+'Prices and Spreads'!J$13*'Historic Prices'!B76*'Prices and Spreads'!J$4/100</f>
        <v>145.5520071220625</v>
      </c>
      <c r="Q83" s="107">
        <f>O83*0.5*$L78/100*5/12+'Prices and Spreads'!K$15*'Prices and Spreads'!K$7+'Prices and Spreads'!K$14+'Prices and Spreads'!K$12+'Prices and Spreads'!K$13*'Historic Prices'!D78*'Prices and Spreads'!K$4/100</f>
        <v>120.02530049603398</v>
      </c>
    </row>
    <row r="84" spans="1:17" ht="15">
      <c r="A84" s="93">
        <v>34881</v>
      </c>
      <c r="B84" s="84">
        <v>70.17</v>
      </c>
      <c r="C84" s="84">
        <v>66.99</v>
      </c>
      <c r="D84" s="84">
        <v>62.19</v>
      </c>
      <c r="E84" s="84">
        <v>2.6</v>
      </c>
      <c r="F84" s="84">
        <f>2000/56*E84*'Cattle Returns'!C$5*'Cattle Returns'!C$4</f>
        <v>33.42857142857144</v>
      </c>
      <c r="G84" s="84">
        <v>60</v>
      </c>
      <c r="H84" s="84">
        <v>300</v>
      </c>
      <c r="I84" s="84">
        <f t="shared" si="1"/>
        <v>26</v>
      </c>
      <c r="J84" s="84">
        <v>284</v>
      </c>
      <c r="K84" s="84">
        <v>161.9</v>
      </c>
      <c r="L84" s="84">
        <v>10.03</v>
      </c>
      <c r="N84" s="107">
        <f>AVERAGE($E78:$E84)*'Assumptions and Rations'!G$28+AVERAGE($F78:$F84)*'Assumptions and Rations'!G$31+AVERAGE($G78:$G84)*'Assumptions and Rations'!G$29+AVERAGE($I78:$I84)*'Assumptions and Rations'!G$30+'Prices and Spreads'!J$11</f>
        <v>186.90018908561078</v>
      </c>
      <c r="O84" s="107">
        <f>AVERAGE($E80:$E84)*'Assumptions and Rations'!H$28+AVERAGE($F80:$F84)*'Assumptions and Rations'!H$31+AVERAGE($G80:$G84)*'Assumptions and Rations'!H$29+AVERAGE($I80:$I84)*'Assumptions and Rations'!H$30+'Prices and Spreads'!K$11</f>
        <v>170.70805802492808</v>
      </c>
      <c r="P84" s="107">
        <f>N84*0.5*$L77/100*7/12+'Prices and Spreads'!J$15*'Prices and Spreads'!J$7+'Prices and Spreads'!J$14+'Prices and Spreads'!J$12+'Prices and Spreads'!J$13*'Historic Prices'!B77*'Prices and Spreads'!J$4/100</f>
        <v>145.96139160649648</v>
      </c>
      <c r="Q84" s="107">
        <f>O84*0.5*$L79/100*5/12+'Prices and Spreads'!K$15*'Prices and Spreads'!K$7+'Prices and Spreads'!K$14+'Prices and Spreads'!K$12+'Prices and Spreads'!K$13*'Historic Prices'!D79*'Prices and Spreads'!K$4/100</f>
        <v>120.26399562197028</v>
      </c>
    </row>
    <row r="85" spans="1:17" ht="15">
      <c r="A85" s="93">
        <v>34912</v>
      </c>
      <c r="B85" s="84">
        <v>69.89</v>
      </c>
      <c r="C85" s="84">
        <v>66.89</v>
      </c>
      <c r="D85" s="84">
        <v>61.71</v>
      </c>
      <c r="E85" s="84">
        <v>2.48</v>
      </c>
      <c r="F85" s="84">
        <f>2000/56*E85*'Cattle Returns'!C$5*'Cattle Returns'!C$4</f>
        <v>31.885714285714286</v>
      </c>
      <c r="G85" s="84">
        <v>60</v>
      </c>
      <c r="H85" s="84">
        <v>300</v>
      </c>
      <c r="I85" s="84">
        <f t="shared" si="1"/>
        <v>24.8</v>
      </c>
      <c r="J85" s="84">
        <v>288</v>
      </c>
      <c r="K85" s="84">
        <v>161.9</v>
      </c>
      <c r="L85" s="84">
        <v>10.03</v>
      </c>
      <c r="N85" s="107">
        <f>AVERAGE($E79:$E85)*'Assumptions and Rations'!G$28+AVERAGE($F79:$F85)*'Assumptions and Rations'!G$31+AVERAGE($G79:$G85)*'Assumptions and Rations'!G$29+AVERAGE($I79:$I85)*'Assumptions and Rations'!G$30+'Prices and Spreads'!J$11</f>
        <v>190.9838353127197</v>
      </c>
      <c r="O85" s="107">
        <f>AVERAGE($E81:$E85)*'Assumptions and Rations'!H$28+AVERAGE($F81:$F85)*'Assumptions and Rations'!H$31+AVERAGE($G81:$G85)*'Assumptions and Rations'!H$29+AVERAGE($I81:$I85)*'Assumptions and Rations'!H$30+'Prices and Spreads'!K$11</f>
        <v>174.35042061261322</v>
      </c>
      <c r="P85" s="107">
        <f>N85*0.5*$L78/100*7/12+'Prices and Spreads'!J$15*'Prices and Spreads'!J$7+'Prices and Spreads'!J$14+'Prices and Spreads'!J$12+'Prices and Spreads'!J$13*'Historic Prices'!B78*'Prices and Spreads'!J$4/100</f>
        <v>146.11260631506707</v>
      </c>
      <c r="Q85" s="107">
        <f>O85*0.5*$L80/100*5/12+'Prices and Spreads'!K$15*'Prices and Spreads'!K$7+'Prices and Spreads'!K$14+'Prices and Spreads'!K$12+'Prices and Spreads'!K$13*'Historic Prices'!D80*'Prices and Spreads'!K$4/100</f>
        <v>120.18569892443846</v>
      </c>
    </row>
    <row r="86" spans="1:17" ht="15">
      <c r="A86" s="93">
        <v>34943</v>
      </c>
      <c r="B86" s="84">
        <v>65.94</v>
      </c>
      <c r="C86" s="84">
        <v>66.42</v>
      </c>
      <c r="D86" s="84">
        <v>62.54</v>
      </c>
      <c r="E86" s="84">
        <v>2.6</v>
      </c>
      <c r="F86" s="84">
        <f>2000/56*E86*'Cattle Returns'!C$5*'Cattle Returns'!C$4</f>
        <v>33.42857142857144</v>
      </c>
      <c r="G86" s="84">
        <v>60</v>
      </c>
      <c r="H86" s="84">
        <v>300</v>
      </c>
      <c r="I86" s="84">
        <f t="shared" si="1"/>
        <v>26</v>
      </c>
      <c r="J86" s="84">
        <v>299.6</v>
      </c>
      <c r="K86" s="84">
        <v>161.9</v>
      </c>
      <c r="L86" s="84">
        <v>10.66</v>
      </c>
      <c r="N86" s="107">
        <f>AVERAGE($E80:$E86)*'Assumptions and Rations'!G$28+AVERAGE($F80:$F86)*'Assumptions and Rations'!G$31+AVERAGE($G80:$G86)*'Assumptions and Rations'!G$29+AVERAGE($I80:$I86)*'Assumptions and Rations'!G$30+'Prices and Spreads'!J$11</f>
        <v>195.8642905597524</v>
      </c>
      <c r="O86" s="107">
        <f>AVERAGE($E82:$E86)*'Assumptions and Rations'!H$28+AVERAGE($F82:$F86)*'Assumptions and Rations'!H$31+AVERAGE($G82:$G86)*'Assumptions and Rations'!H$29+AVERAGE($I82:$I86)*'Assumptions and Rations'!H$30+'Prices and Spreads'!K$11</f>
        <v>178.7463754598194</v>
      </c>
      <c r="P86" s="107">
        <f>N86*0.5*$L79/100*7/12+'Prices and Spreads'!J$15*'Prices and Spreads'!J$7+'Prices and Spreads'!J$14+'Prices and Spreads'!J$12+'Prices and Spreads'!J$13*'Historic Prices'!B79*'Prices and Spreads'!J$4/100</f>
        <v>146.43165684937156</v>
      </c>
      <c r="Q86" s="107">
        <f>O86*0.5*$L81/100*5/12+'Prices and Spreads'!K$15*'Prices and Spreads'!K$7+'Prices and Spreads'!K$14+'Prices and Spreads'!K$12+'Prices and Spreads'!K$13*'Historic Prices'!D81*'Prices and Spreads'!K$4/100</f>
        <v>120.12470075500349</v>
      </c>
    </row>
    <row r="87" spans="1:17" ht="15">
      <c r="A87" s="93">
        <v>34973</v>
      </c>
      <c r="B87" s="84">
        <v>63.42</v>
      </c>
      <c r="C87" s="84">
        <v>66.91</v>
      </c>
      <c r="D87" s="84">
        <v>64.88</v>
      </c>
      <c r="E87" s="84">
        <v>2.86</v>
      </c>
      <c r="F87" s="84">
        <f>2000/56*E87*'Cattle Returns'!C$5*'Cattle Returns'!C$4</f>
        <v>36.77142857142857</v>
      </c>
      <c r="G87" s="84">
        <v>60</v>
      </c>
      <c r="H87" s="84">
        <v>300</v>
      </c>
      <c r="I87" s="84">
        <f t="shared" si="1"/>
        <v>28.599999999999998</v>
      </c>
      <c r="J87" s="84">
        <v>314.75</v>
      </c>
      <c r="K87" s="84">
        <v>161.9</v>
      </c>
      <c r="L87" s="84">
        <v>10.66</v>
      </c>
      <c r="N87" s="107">
        <f>AVERAGE($E81:$E87)*'Assumptions and Rations'!G$28+AVERAGE($F81:$F87)*'Assumptions and Rations'!G$31+AVERAGE($G81:$G87)*'Assumptions and Rations'!G$29+AVERAGE($I81:$I87)*'Assumptions and Rations'!G$30+'Prices and Spreads'!J$11</f>
        <v>202.53756610161338</v>
      </c>
      <c r="O87" s="107">
        <f>AVERAGE($E83:$E87)*'Assumptions and Rations'!H$28+AVERAGE($F83:$F87)*'Assumptions and Rations'!H$31+AVERAGE($G83:$G87)*'Assumptions and Rations'!H$29+AVERAGE($I83:$I87)*'Assumptions and Rations'!H$30+'Prices and Spreads'!K$11</f>
        <v>185.65430450542908</v>
      </c>
      <c r="P87" s="107">
        <f>N87*0.5*$L80/100*7/12+'Prices and Spreads'!J$15*'Prices and Spreads'!J$7+'Prices and Spreads'!J$14+'Prices and Spreads'!J$12+'Prices and Spreads'!J$13*'Historic Prices'!B80*'Prices and Spreads'!J$4/100</f>
        <v>146.51374010809394</v>
      </c>
      <c r="Q87" s="107">
        <f>O87*0.5*$L82/100*5/12+'Prices and Spreads'!K$15*'Prices and Spreads'!K$7+'Prices and Spreads'!K$14+'Prices and Spreads'!K$12+'Prices and Spreads'!K$13*'Historic Prices'!D82*'Prices and Spreads'!K$4/100</f>
        <v>120.10711434589139</v>
      </c>
    </row>
    <row r="88" spans="1:17" ht="15">
      <c r="A88" s="93">
        <v>35004</v>
      </c>
      <c r="B88" s="84">
        <v>63.15</v>
      </c>
      <c r="C88" s="84">
        <v>67.51</v>
      </c>
      <c r="D88" s="84">
        <v>66.69</v>
      </c>
      <c r="E88" s="84">
        <v>2.9</v>
      </c>
      <c r="F88" s="84">
        <f>2000/56*E88*'Cattle Returns'!C$5*'Cattle Returns'!C$4</f>
        <v>37.285714285714285</v>
      </c>
      <c r="G88" s="84">
        <v>60</v>
      </c>
      <c r="H88" s="84">
        <v>300</v>
      </c>
      <c r="I88" s="84">
        <f t="shared" si="1"/>
        <v>29</v>
      </c>
      <c r="J88" s="84">
        <v>330</v>
      </c>
      <c r="K88" s="84">
        <v>161.9</v>
      </c>
      <c r="L88" s="84">
        <v>10.53</v>
      </c>
      <c r="N88" s="107">
        <f>AVERAGE($E82:$E88)*'Assumptions and Rations'!G$28+AVERAGE($F82:$F88)*'Assumptions and Rations'!G$31+AVERAGE($G82:$G88)*'Assumptions and Rations'!G$29+AVERAGE($I82:$I88)*'Assumptions and Rations'!G$30+'Prices and Spreads'!J$11</f>
        <v>209.01163938849348</v>
      </c>
      <c r="O88" s="107">
        <f>AVERAGE($E84:$E88)*'Assumptions and Rations'!H$28+AVERAGE($F84:$F88)*'Assumptions and Rations'!H$31+AVERAGE($G84:$G88)*'Assumptions and Rations'!H$29+AVERAGE($I84:$I88)*'Assumptions and Rations'!H$30+'Prices and Spreads'!K$11</f>
        <v>190.4270554823958</v>
      </c>
      <c r="P88" s="107">
        <f>N88*0.5*$L81/100*7/12+'Prices and Spreads'!J$15*'Prices and Spreads'!J$7+'Prices and Spreads'!J$14+'Prices and Spreads'!J$12+'Prices and Spreads'!J$13*'Historic Prices'!B81*'Prices and Spreads'!J$4/100</f>
        <v>146.5071298367052</v>
      </c>
      <c r="Q88" s="107">
        <f>O88*0.5*$L83/100*5/12+'Prices and Spreads'!K$15*'Prices and Spreads'!K$7+'Prices and Spreads'!K$14+'Prices and Spreads'!K$12+'Prices and Spreads'!K$13*'Historic Prices'!D83*'Prices and Spreads'!K$4/100</f>
        <v>120.22154669050487</v>
      </c>
    </row>
    <row r="89" spans="1:17" ht="15">
      <c r="A89" s="93">
        <v>35034</v>
      </c>
      <c r="B89" s="84">
        <v>64.63</v>
      </c>
      <c r="C89" s="84">
        <v>68.19</v>
      </c>
      <c r="D89" s="84">
        <v>66.12</v>
      </c>
      <c r="E89" s="84">
        <v>3</v>
      </c>
      <c r="F89" s="84">
        <f>2000/56*E89*'Cattle Returns'!C$5*'Cattle Returns'!C$4</f>
        <v>38.57142857142858</v>
      </c>
      <c r="G89" s="84">
        <v>60</v>
      </c>
      <c r="H89" s="84">
        <v>300</v>
      </c>
      <c r="I89" s="84">
        <f t="shared" si="1"/>
        <v>30</v>
      </c>
      <c r="J89" s="84">
        <v>344</v>
      </c>
      <c r="K89" s="84">
        <v>161.9</v>
      </c>
      <c r="L89" s="84">
        <v>10.35</v>
      </c>
      <c r="N89" s="107">
        <f>AVERAGE($E83:$E89)*'Assumptions and Rations'!G$28+AVERAGE($F83:$F89)*'Assumptions and Rations'!G$31+AVERAGE($G83:$G89)*'Assumptions and Rations'!G$29+AVERAGE($I83:$I89)*'Assumptions and Rations'!G$30+'Prices and Spreads'!J$11</f>
        <v>215.8841171853354</v>
      </c>
      <c r="O89" s="107">
        <f>AVERAGE($E85:$E89)*'Assumptions and Rations'!H$28+AVERAGE($F85:$F89)*'Assumptions and Rations'!H$31+AVERAGE($G85:$G89)*'Assumptions and Rations'!H$29+AVERAGE($I85:$I89)*'Assumptions and Rations'!H$30+'Prices and Spreads'!K$11</f>
        <v>195.45100387920286</v>
      </c>
      <c r="P89" s="107">
        <f>N89*0.5*$L82/100*7/12+'Prices and Spreads'!J$15*'Prices and Spreads'!J$7+'Prices and Spreads'!J$14+'Prices and Spreads'!J$12+'Prices and Spreads'!J$13*'Historic Prices'!B82*'Prices and Spreads'!J$4/100</f>
        <v>146.32150662553866</v>
      </c>
      <c r="Q89" s="107">
        <f>O89*0.5*$L84/100*5/12+'Prices and Spreads'!K$15*'Prices and Spreads'!K$7+'Prices and Spreads'!K$14+'Prices and Spreads'!K$12+'Prices and Spreads'!K$13*'Historic Prices'!D84*'Prices and Spreads'!K$4/100</f>
        <v>119.99896576855917</v>
      </c>
    </row>
    <row r="90" spans="1:17" ht="15">
      <c r="A90" s="93">
        <v>35065</v>
      </c>
      <c r="B90" s="84">
        <v>60.94</v>
      </c>
      <c r="C90" s="84">
        <v>60.24</v>
      </c>
      <c r="D90" s="84">
        <v>63.79</v>
      </c>
      <c r="E90" s="84">
        <v>3.1</v>
      </c>
      <c r="F90" s="84">
        <f>2000/56*E90*'Cattle Returns'!C$5*'Cattle Returns'!C$4</f>
        <v>39.85714285714286</v>
      </c>
      <c r="G90" s="84">
        <v>60</v>
      </c>
      <c r="H90" s="84">
        <v>300</v>
      </c>
      <c r="I90" s="84">
        <f t="shared" si="1"/>
        <v>31</v>
      </c>
      <c r="J90" s="84">
        <v>343.6</v>
      </c>
      <c r="K90" s="84">
        <v>161.9</v>
      </c>
      <c r="L90" s="84">
        <v>9.22</v>
      </c>
      <c r="N90" s="107">
        <f>AVERAGE($E84:$E90)*'Assumptions and Rations'!G$28+AVERAGE($F84:$F90)*'Assumptions and Rations'!G$31+AVERAGE($G84:$G90)*'Assumptions and Rations'!G$29+AVERAGE($I84:$I90)*'Assumptions and Rations'!G$30+'Prices and Spreads'!J$11</f>
        <v>221.6609825797822</v>
      </c>
      <c r="O90" s="107">
        <f>AVERAGE($E86:$E90)*'Assumptions and Rations'!H$28+AVERAGE($F86:$F90)*'Assumptions and Rations'!H$31+AVERAGE($G86:$G90)*'Assumptions and Rations'!H$29+AVERAGE($I86:$I90)*'Assumptions and Rations'!H$30+'Prices and Spreads'!K$11</f>
        <v>203.23812389425382</v>
      </c>
      <c r="P90" s="107">
        <f>N90*0.5*$L83/100*7/12+'Prices and Spreads'!J$15*'Prices and Spreads'!J$7+'Prices and Spreads'!J$14+'Prices and Spreads'!J$12+'Prices and Spreads'!J$13*'Historic Prices'!B83*'Prices and Spreads'!J$4/100</f>
        <v>146.369118998761</v>
      </c>
      <c r="Q90" s="107">
        <f>O90*0.5*$L85/100*5/12+'Prices and Spreads'!K$15*'Prices and Spreads'!K$7+'Prices and Spreads'!K$14+'Prices and Spreads'!K$12+'Prices and Spreads'!K$13*'Historic Prices'!D85*'Prices and Spreads'!K$4/100</f>
        <v>120.13468413054034</v>
      </c>
    </row>
    <row r="91" spans="1:17" ht="15">
      <c r="A91" s="93">
        <v>35096</v>
      </c>
      <c r="B91" s="84">
        <v>61.35</v>
      </c>
      <c r="C91" s="84">
        <v>58.44</v>
      </c>
      <c r="D91" s="84">
        <v>62.58</v>
      </c>
      <c r="E91" s="84">
        <v>3.3</v>
      </c>
      <c r="F91" s="84">
        <f>2000/56*E91*'Cattle Returns'!C$5*'Cattle Returns'!C$4</f>
        <v>42.42857142857144</v>
      </c>
      <c r="G91" s="84">
        <v>60</v>
      </c>
      <c r="H91" s="84">
        <v>300</v>
      </c>
      <c r="I91" s="84">
        <f t="shared" si="1"/>
        <v>33</v>
      </c>
      <c r="J91" s="84">
        <v>337.5</v>
      </c>
      <c r="K91" s="84">
        <v>161.9</v>
      </c>
      <c r="L91" s="84">
        <v>9.06</v>
      </c>
      <c r="N91" s="107">
        <f>AVERAGE($E85:$E91)*'Assumptions and Rations'!G$28+AVERAGE($F85:$F91)*'Assumptions and Rations'!G$31+AVERAGE($G85:$G91)*'Assumptions and Rations'!G$29+AVERAGE($I85:$I91)*'Assumptions and Rations'!G$30+'Prices and Spreads'!J$11</f>
        <v>228.63306150411464</v>
      </c>
      <c r="O91" s="107">
        <f>AVERAGE($E87:$E91)*'Assumptions and Rations'!H$28+AVERAGE($F87:$F91)*'Assumptions and Rations'!H$31+AVERAGE($G87:$G91)*'Assumptions and Rations'!H$29+AVERAGE($I87:$I91)*'Assumptions and Rations'!H$30+'Prices and Spreads'!K$11</f>
        <v>212.0300335886662</v>
      </c>
      <c r="P91" s="107">
        <f>N91*0.5*$L84/100*7/12+'Prices and Spreads'!J$15*'Prices and Spreads'!J$7+'Prices and Spreads'!J$14+'Prices and Spreads'!J$12+'Prices and Spreads'!J$13*'Historic Prices'!B84*'Prices and Spreads'!J$4/100</f>
        <v>145.79287930213624</v>
      </c>
      <c r="Q91" s="107">
        <f>O91*0.5*$L86/100*5/12+'Prices and Spreads'!K$15*'Prices and Spreads'!K$7+'Prices and Spreads'!K$14+'Prices and Spreads'!K$12+'Prices and Spreads'!K$13*'Historic Prices'!D86*'Prices and Spreads'!K$4/100</f>
        <v>120.64337532928162</v>
      </c>
    </row>
    <row r="92" spans="1:17" ht="15">
      <c r="A92" s="93">
        <v>35125</v>
      </c>
      <c r="B92" s="84">
        <v>61.44</v>
      </c>
      <c r="C92" s="84">
        <v>56.06</v>
      </c>
      <c r="D92" s="84">
        <v>61.88</v>
      </c>
      <c r="E92" s="84">
        <v>3.45</v>
      </c>
      <c r="F92" s="84">
        <f>2000/56*E92*'Cattle Returns'!C$5*'Cattle Returns'!C$4</f>
        <v>44.35714285714286</v>
      </c>
      <c r="G92" s="84">
        <v>60</v>
      </c>
      <c r="H92" s="84">
        <v>300</v>
      </c>
      <c r="I92" s="84">
        <f t="shared" si="1"/>
        <v>34.5</v>
      </c>
      <c r="J92" s="84">
        <v>339.5</v>
      </c>
      <c r="K92" s="84">
        <v>161.9</v>
      </c>
      <c r="L92" s="84">
        <v>9.43</v>
      </c>
      <c r="N92" s="107">
        <f>AVERAGE($E86:$E92)*'Assumptions and Rations'!G$28+AVERAGE($F86:$F92)*'Assumptions and Rations'!G$31+AVERAGE($G86:$G92)*'Assumptions and Rations'!G$29+AVERAGE($I86:$I92)*'Assumptions and Rations'!G$30+'Prices and Spreads'!J$11</f>
        <v>238.29437087068948</v>
      </c>
      <c r="O92" s="107">
        <f>AVERAGE($E88:$E92)*'Assumptions and Rations'!H$28+AVERAGE($F88:$F92)*'Assumptions and Rations'!H$31+AVERAGE($G88:$G92)*'Assumptions and Rations'!H$29+AVERAGE($I88:$I92)*'Assumptions and Rations'!H$30+'Prices and Spreads'!K$11</f>
        <v>219.4403574739566</v>
      </c>
      <c r="P92" s="107">
        <f>N92*0.5*$L85/100*7/12+'Prices and Spreads'!J$15*'Prices and Spreads'!J$7+'Prices and Spreads'!J$14+'Prices and Spreads'!J$12+'Prices and Spreads'!J$13*'Historic Prices'!B85*'Prices and Spreads'!J$4/100</f>
        <v>146.05241285656425</v>
      </c>
      <c r="Q92" s="107">
        <f>O92*0.5*$L87/100*5/12+'Prices and Spreads'!K$15*'Prices and Spreads'!K$7+'Prices and Spreads'!K$14+'Prices and Spreads'!K$12+'Prices and Spreads'!K$13*'Historic Prices'!D87*'Prices and Spreads'!K$4/100</f>
        <v>120.93957127223412</v>
      </c>
    </row>
    <row r="93" spans="1:17" ht="15">
      <c r="A93" s="93">
        <v>35156</v>
      </c>
      <c r="B93" s="84">
        <v>58.78</v>
      </c>
      <c r="C93" s="84">
        <v>53.19</v>
      </c>
      <c r="D93" s="84">
        <v>58.46</v>
      </c>
      <c r="E93" s="84">
        <v>4</v>
      </c>
      <c r="F93" s="84">
        <f>2000/56*E93*'Cattle Returns'!C$5*'Cattle Returns'!C$4</f>
        <v>51.42857142857144</v>
      </c>
      <c r="G93" s="84">
        <v>60</v>
      </c>
      <c r="H93" s="84">
        <v>300</v>
      </c>
      <c r="I93" s="84">
        <f t="shared" si="1"/>
        <v>40</v>
      </c>
      <c r="J93" s="84">
        <v>358</v>
      </c>
      <c r="K93" s="84">
        <v>161.9</v>
      </c>
      <c r="L93" s="84">
        <v>9.43</v>
      </c>
      <c r="N93" s="107">
        <f>AVERAGE($E87:$E93)*'Assumptions and Rations'!G$28+AVERAGE($F87:$F93)*'Assumptions and Rations'!G$31+AVERAGE($G87:$G93)*'Assumptions and Rations'!G$29+AVERAGE($I87:$I93)*'Assumptions and Rations'!G$30+'Prices and Spreads'!J$11</f>
        <v>252.23852871935424</v>
      </c>
      <c r="O93" s="107">
        <f>AVERAGE($E89:$E93)*'Assumptions and Rations'!H$28+AVERAGE($F89:$F93)*'Assumptions and Rations'!H$31+AVERAGE($G89:$G93)*'Assumptions and Rations'!H$29+AVERAGE($I89:$I93)*'Assumptions and Rations'!H$30+'Prices and Spreads'!K$11</f>
        <v>233.25621556517606</v>
      </c>
      <c r="P93" s="107">
        <f>N93*0.5*$L86/100*7/12+'Prices and Spreads'!J$15*'Prices and Spreads'!J$7+'Prices and Spreads'!J$14+'Prices and Spreads'!J$12+'Prices and Spreads'!J$13*'Historic Prices'!B86*'Prices and Spreads'!J$4/100</f>
        <v>146.59795087081721</v>
      </c>
      <c r="Q93" s="107">
        <f>O93*0.5*$L88/100*5/12+'Prices and Spreads'!K$15*'Prices and Spreads'!K$7+'Prices and Spreads'!K$14+'Prices and Spreads'!K$12+'Prices and Spreads'!K$13*'Historic Prices'!D88*'Prices and Spreads'!K$4/100</f>
        <v>121.2850373956277</v>
      </c>
    </row>
    <row r="94" spans="1:17" ht="15">
      <c r="A94" s="93">
        <v>35186</v>
      </c>
      <c r="B94" s="84">
        <v>58.41</v>
      </c>
      <c r="C94" s="84">
        <v>56.31</v>
      </c>
      <c r="D94" s="84">
        <v>58.78</v>
      </c>
      <c r="E94" s="84">
        <v>4</v>
      </c>
      <c r="F94" s="84">
        <f>2000/56*E94*'Cattle Returns'!C$5*'Cattle Returns'!C$4</f>
        <v>51.42857142857144</v>
      </c>
      <c r="G94" s="84">
        <v>60</v>
      </c>
      <c r="H94" s="84">
        <v>300</v>
      </c>
      <c r="I94" s="84">
        <f t="shared" si="1"/>
        <v>40</v>
      </c>
      <c r="J94" s="84">
        <v>351.2</v>
      </c>
      <c r="K94" s="84">
        <v>161.9</v>
      </c>
      <c r="L94" s="84">
        <v>8.93</v>
      </c>
      <c r="N94" s="107">
        <f>AVERAGE($E88:$E94)*'Assumptions and Rations'!G$28+AVERAGE($F88:$F94)*'Assumptions and Rations'!G$31+AVERAGE($G88:$G94)*'Assumptions and Rations'!G$29+AVERAGE($I88:$I94)*'Assumptions and Rations'!G$30+'Prices and Spreads'!J$11</f>
        <v>263.593057253267</v>
      </c>
      <c r="O94" s="107">
        <f>AVERAGE($E90:$E94)*'Assumptions and Rations'!H$28+AVERAGE($F90:$F94)*'Assumptions and Rations'!H$31+AVERAGE($G90:$G94)*'Assumptions and Rations'!H$29+AVERAGE($I90:$I94)*'Assumptions and Rations'!H$30+'Prices and Spreads'!K$11</f>
        <v>245.81608655719373</v>
      </c>
      <c r="P94" s="107">
        <f>N94*0.5*$L87/100*7/12+'Prices and Spreads'!J$15*'Prices and Spreads'!J$7+'Prices and Spreads'!J$14+'Prices and Spreads'!J$12+'Prices and Spreads'!J$13*'Historic Prices'!B87*'Prices and Spreads'!J$4/100</f>
        <v>146.74308208715075</v>
      </c>
      <c r="Q94" s="107">
        <f>O94*0.5*$L89/100*5/12+'Prices and Spreads'!K$15*'Prices and Spreads'!K$7+'Prices and Spreads'!K$14+'Prices and Spreads'!K$12+'Prices and Spreads'!K$13*'Historic Prices'!D89*'Prices and Spreads'!K$4/100</f>
        <v>121.43632603305615</v>
      </c>
    </row>
    <row r="95" spans="1:17" ht="15">
      <c r="A95" s="93">
        <v>35217</v>
      </c>
      <c r="B95" s="84">
        <v>61.8</v>
      </c>
      <c r="C95" s="84">
        <v>61.57</v>
      </c>
      <c r="D95" s="84">
        <v>60.9</v>
      </c>
      <c r="E95" s="84">
        <v>4.05</v>
      </c>
      <c r="F95" s="84">
        <f>2000/56*E95*'Cattle Returns'!C$5*'Cattle Returns'!C$4</f>
        <v>52.07142857142857</v>
      </c>
      <c r="G95" s="84">
        <v>60</v>
      </c>
      <c r="H95" s="84">
        <v>300</v>
      </c>
      <c r="I95" s="84">
        <f t="shared" si="1"/>
        <v>40.5</v>
      </c>
      <c r="J95" s="84">
        <v>350</v>
      </c>
      <c r="K95" s="84">
        <v>161.9</v>
      </c>
      <c r="L95" s="84">
        <v>8.93</v>
      </c>
      <c r="N95" s="107">
        <f>AVERAGE($E89:$E95)*'Assumptions and Rations'!G$28+AVERAGE($F89:$F95)*'Assumptions and Rations'!G$31+AVERAGE($G89:$G95)*'Assumptions and Rations'!G$29+AVERAGE($I89:$I95)*'Assumptions and Rations'!G$30+'Prices and Spreads'!J$11</f>
        <v>275.0471869146702</v>
      </c>
      <c r="O95" s="107">
        <f>AVERAGE($E91:$E95)*'Assumptions and Rations'!H$28+AVERAGE($F91:$F95)*'Assumptions and Rations'!H$31+AVERAGE($G91:$G95)*'Assumptions and Rations'!H$29+AVERAGE($I91:$I95)*'Assumptions and Rations'!H$30+'Prices and Spreads'!K$11</f>
        <v>257.7479639996105</v>
      </c>
      <c r="P95" s="107">
        <f>N95*0.5*$L88/100*7/12+'Prices and Spreads'!J$15*'Prices and Spreads'!J$7+'Prices and Spreads'!J$14+'Prices and Spreads'!J$12+'Prices and Spreads'!J$13*'Historic Prices'!B88*'Prices and Spreads'!J$4/100</f>
        <v>146.97264634350142</v>
      </c>
      <c r="Q95" s="107">
        <f>O95*0.5*$L90/100*5/12+'Prices and Spreads'!K$15*'Prices and Spreads'!K$7+'Prices and Spreads'!K$14+'Prices and Spreads'!K$12+'Prices and Spreads'!K$13*'Historic Prices'!D90*'Prices and Spreads'!K$4/100</f>
        <v>120.95576297515917</v>
      </c>
    </row>
    <row r="96" spans="1:17" ht="15">
      <c r="A96" s="93">
        <v>35247</v>
      </c>
      <c r="B96" s="84">
        <v>60.53</v>
      </c>
      <c r="C96" s="84">
        <v>62.43</v>
      </c>
      <c r="D96" s="84">
        <v>63.63</v>
      </c>
      <c r="E96" s="84">
        <v>4.4</v>
      </c>
      <c r="F96" s="84">
        <f>2000/56*E96*'Cattle Returns'!C$5*'Cattle Returns'!C$4</f>
        <v>56.571428571428584</v>
      </c>
      <c r="G96" s="84">
        <v>60</v>
      </c>
      <c r="H96" s="84">
        <v>300</v>
      </c>
      <c r="I96" s="84">
        <f t="shared" si="1"/>
        <v>44</v>
      </c>
      <c r="J96" s="84">
        <v>356.5</v>
      </c>
      <c r="K96" s="84">
        <v>161.9</v>
      </c>
      <c r="L96" s="84">
        <v>8.93</v>
      </c>
      <c r="N96" s="107">
        <f>AVERAGE($E90:$E96)*'Assumptions and Rations'!G$28+AVERAGE($F90:$F96)*'Assumptions and Rations'!G$31+AVERAGE($G90:$G96)*'Assumptions and Rations'!G$29+AVERAGE($I90:$I96)*'Assumptions and Rations'!G$30+'Prices and Spreads'!J$11</f>
        <v>288.99134476333495</v>
      </c>
      <c r="O96" s="107">
        <f>AVERAGE($E92:$E96)*'Assumptions and Rations'!H$28+AVERAGE($F92:$F96)*'Assumptions and Rations'!H$31+AVERAGE($G92:$G96)*'Assumptions and Rations'!H$29+AVERAGE($I92:$I96)*'Assumptions and Rations'!H$30+'Prices and Spreads'!K$11</f>
        <v>271.5638220908299</v>
      </c>
      <c r="P96" s="107">
        <f>N96*0.5*$L89/100*7/12+'Prices and Spreads'!J$15*'Prices and Spreads'!J$7+'Prices and Spreads'!J$14+'Prices and Spreads'!J$12+'Prices and Spreads'!J$13*'Historic Prices'!B89*'Prices and Spreads'!J$4/100</f>
        <v>147.37128583542778</v>
      </c>
      <c r="Q96" s="107">
        <f>O96*0.5*$L91/100*5/12+'Prices and Spreads'!K$15*'Prices and Spreads'!K$7+'Prices and Spreads'!K$14+'Prices and Spreads'!K$12+'Prices and Spreads'!K$13*'Historic Prices'!D91*'Prices and Spreads'!K$4/100</f>
        <v>121.06255880863107</v>
      </c>
    </row>
    <row r="97" spans="1:17" ht="15">
      <c r="A97" s="93">
        <v>35278</v>
      </c>
      <c r="B97" s="84">
        <v>65.29</v>
      </c>
      <c r="C97" s="84">
        <v>63.64</v>
      </c>
      <c r="D97" s="84">
        <v>66.03</v>
      </c>
      <c r="E97" s="84">
        <v>4.55</v>
      </c>
      <c r="F97" s="84">
        <f>2000/56*E97*'Cattle Returns'!C$5*'Cattle Returns'!C$4</f>
        <v>58.5</v>
      </c>
      <c r="G97" s="84">
        <v>60</v>
      </c>
      <c r="H97" s="84">
        <v>300</v>
      </c>
      <c r="I97" s="84">
        <f t="shared" si="1"/>
        <v>45.5</v>
      </c>
      <c r="J97" s="84">
        <v>365</v>
      </c>
      <c r="K97" s="84">
        <v>161.9</v>
      </c>
      <c r="L97" s="84">
        <v>8.93</v>
      </c>
      <c r="N97" s="107">
        <f>AVERAGE($E91:$E97)*'Assumptions and Rations'!G$28+AVERAGE($F91:$F97)*'Assumptions and Rations'!G$31+AVERAGE($G91:$G97)*'Assumptions and Rations'!G$29+AVERAGE($I91:$I97)*'Assumptions and Rations'!G$30+'Prices and Spreads'!J$11</f>
        <v>303.4335082494521</v>
      </c>
      <c r="O97" s="107">
        <f>AVERAGE($E93:$E97)*'Assumptions and Rations'!H$28+AVERAGE($F93:$F97)*'Assumptions and Rations'!H$31+AVERAGE($G93:$G97)*'Assumptions and Rations'!H$29+AVERAGE($I93:$I97)*'Assumptions and Rations'!H$30+'Prices and Spreads'!K$11</f>
        <v>285.3796801820494</v>
      </c>
      <c r="P97" s="107">
        <f>N97*0.5*$L90/100*7/12+'Prices and Spreads'!J$15*'Prices and Spreads'!J$7+'Prices and Spreads'!J$14+'Prices and Spreads'!J$12+'Prices and Spreads'!J$13*'Historic Prices'!B90*'Prices and Spreads'!J$4/100</f>
        <v>146.50276737472612</v>
      </c>
      <c r="Q97" s="107">
        <f>O97*0.5*$L92/100*5/12+'Prices and Spreads'!K$15*'Prices and Spreads'!K$7+'Prices and Spreads'!K$14+'Prices and Spreads'!K$12+'Prices and Spreads'!K$13*'Historic Prices'!D92*'Prices and Spreads'!K$4/100</f>
        <v>121.50393830024316</v>
      </c>
    </row>
    <row r="98" spans="1:17" ht="15">
      <c r="A98" s="93">
        <v>35309</v>
      </c>
      <c r="B98" s="84">
        <v>64.79</v>
      </c>
      <c r="C98" s="84">
        <v>63.73</v>
      </c>
      <c r="D98" s="84">
        <v>69.56</v>
      </c>
      <c r="E98" s="84">
        <v>3.54</v>
      </c>
      <c r="F98" s="84">
        <f>2000/56*E98*'Cattle Returns'!C$5*'Cattle Returns'!C$4</f>
        <v>45.51428571428572</v>
      </c>
      <c r="G98" s="84">
        <v>60</v>
      </c>
      <c r="H98" s="84">
        <v>300</v>
      </c>
      <c r="I98" s="84">
        <f t="shared" si="1"/>
        <v>35.4</v>
      </c>
      <c r="J98" s="84">
        <v>376</v>
      </c>
      <c r="K98" s="84">
        <v>161.9</v>
      </c>
      <c r="L98" s="84">
        <v>8.93</v>
      </c>
      <c r="N98" s="107">
        <f>AVERAGE($E92:$E98)*'Assumptions and Rations'!G$28+AVERAGE($F92:$F98)*'Assumptions and Rations'!G$31+AVERAGE($G92:$G98)*'Assumptions and Rations'!G$29+AVERAGE($I92:$I98)*'Assumptions and Rations'!G$30+'Prices and Spreads'!J$11</f>
        <v>305.82393530922315</v>
      </c>
      <c r="O98" s="107">
        <f>AVERAGE($E94:$E98)*'Assumptions and Rations'!H$28+AVERAGE($F94:$F98)*'Assumptions and Rations'!H$31+AVERAGE($G94:$G98)*'Assumptions and Rations'!H$29+AVERAGE($I94:$I98)*'Assumptions and Rations'!H$30+'Prices and Spreads'!K$11</f>
        <v>279.6021395257212</v>
      </c>
      <c r="P98" s="107">
        <f>N98*0.5*$L91/100*7/12+'Prices and Spreads'!J$15*'Prices and Spreads'!J$7+'Prices and Spreads'!J$14+'Prices and Spreads'!J$12+'Prices and Spreads'!J$13*'Historic Prices'!B91*'Prices and Spreads'!J$4/100</f>
        <v>146.45815710593084</v>
      </c>
      <c r="Q98" s="107">
        <f>O98*0.5*$L93/100*5/12+'Prices and Spreads'!K$15*'Prices and Spreads'!K$7+'Prices and Spreads'!K$14+'Prices and Spreads'!K$12+'Prices and Spreads'!K$13*'Historic Prices'!D93*'Prices and Spreads'!K$4/100</f>
        <v>121.1980586994324</v>
      </c>
    </row>
    <row r="99" spans="1:17" ht="15">
      <c r="A99" s="93">
        <v>35339</v>
      </c>
      <c r="B99" s="84">
        <v>64.02</v>
      </c>
      <c r="C99" s="84">
        <v>64.33</v>
      </c>
      <c r="D99" s="84">
        <v>70.59</v>
      </c>
      <c r="E99" s="84">
        <v>3.04</v>
      </c>
      <c r="F99" s="84">
        <f>2000/56*E99*'Cattle Returns'!C$5*'Cattle Returns'!C$4</f>
        <v>39.08571428571429</v>
      </c>
      <c r="G99" s="84">
        <v>60</v>
      </c>
      <c r="H99" s="84">
        <v>300</v>
      </c>
      <c r="I99" s="84">
        <f t="shared" si="1"/>
        <v>30.4</v>
      </c>
      <c r="J99" s="84">
        <v>359</v>
      </c>
      <c r="K99" s="84">
        <v>161.9</v>
      </c>
      <c r="L99" s="84">
        <v>8.93</v>
      </c>
      <c r="N99" s="107">
        <f>AVERAGE($E93:$E99)*'Assumptions and Rations'!G$28+AVERAGE($F93:$F99)*'Assumptions and Rations'!G$31+AVERAGE($G93:$G99)*'Assumptions and Rations'!G$29+AVERAGE($I93:$I99)*'Assumptions and Rations'!G$30+'Prices and Spreads'!J$11</f>
        <v>301.7402890821142</v>
      </c>
      <c r="O99" s="107">
        <f>AVERAGE($E95:$E99)*'Assumptions and Rations'!H$28+AVERAGE($F95:$F99)*'Assumptions and Rations'!H$31+AVERAGE($G95:$G99)*'Assumptions and Rations'!H$29+AVERAGE($I95:$I99)*'Assumptions and Rations'!H$30+'Prices and Spreads'!K$11</f>
        <v>267.54466337338425</v>
      </c>
      <c r="P99" s="107">
        <f>N99*0.5*$L92/100*7/12+'Prices and Spreads'!J$15*'Prices and Spreads'!J$7+'Prices and Spreads'!J$14+'Prices and Spreads'!J$12+'Prices and Spreads'!J$13*'Historic Prices'!B92*'Prices and Spreads'!J$4/100</f>
        <v>146.68329981634727</v>
      </c>
      <c r="Q99" s="107">
        <f>O99*0.5*$L94/100*5/12+'Prices and Spreads'!K$15*'Prices and Spreads'!K$7+'Prices and Spreads'!K$14+'Prices and Spreads'!K$12+'Prices and Spreads'!K$13*'Historic Prices'!D94*'Prices and Spreads'!K$4/100</f>
        <v>120.70048717484232</v>
      </c>
    </row>
    <row r="100" spans="1:17" ht="15">
      <c r="A100" s="93">
        <v>35370</v>
      </c>
      <c r="B100" s="84">
        <v>67.32</v>
      </c>
      <c r="C100" s="84">
        <v>67.08</v>
      </c>
      <c r="D100" s="84">
        <v>71.84</v>
      </c>
      <c r="E100" s="84">
        <v>2.55</v>
      </c>
      <c r="F100" s="84">
        <f>2000/56*E100*'Cattle Returns'!C$5*'Cattle Returns'!C$4</f>
        <v>32.785714285714285</v>
      </c>
      <c r="G100" s="84">
        <v>60</v>
      </c>
      <c r="H100" s="84">
        <v>300</v>
      </c>
      <c r="I100" s="84">
        <f t="shared" si="1"/>
        <v>25.5</v>
      </c>
      <c r="J100" s="84">
        <v>358</v>
      </c>
      <c r="K100" s="84">
        <v>161.9</v>
      </c>
      <c r="L100" s="84">
        <v>8.93</v>
      </c>
      <c r="N100" s="107">
        <f>AVERAGE($E94:$E100)*'Assumptions and Rations'!G$28+AVERAGE($F94:$F100)*'Assumptions and Rations'!G$31+AVERAGE($G94:$G100)*'Assumptions and Rations'!G$29+AVERAGE($I94:$I100)*'Assumptions and Rations'!G$30+'Prices and Spreads'!J$11</f>
        <v>287.2981255959971</v>
      </c>
      <c r="O100" s="107">
        <f>AVERAGE($E96:$E100)*'Assumptions and Rations'!H$28+AVERAGE($F96:$F100)*'Assumptions and Rations'!H$31+AVERAGE($G96:$G100)*'Assumptions and Rations'!H$29+AVERAGE($I96:$I100)*'Assumptions and Rations'!H$30+'Prices and Spreads'!K$11</f>
        <v>248.70485688535774</v>
      </c>
      <c r="P100" s="107">
        <f>N100*0.5*$L93/100*7/12+'Prices and Spreads'!J$15*'Prices and Spreads'!J$7+'Prices and Spreads'!J$14+'Prices and Spreads'!J$12+'Prices and Spreads'!J$13*'Historic Prices'!B93*'Prices and Spreads'!J$4/100</f>
        <v>146.06663014479784</v>
      </c>
      <c r="Q100" s="107">
        <f>O100*0.5*$L95/100*5/12+'Prices and Spreads'!K$15*'Prices and Spreads'!K$7+'Prices and Spreads'!K$14+'Prices and Spreads'!K$12+'Prices and Spreads'!K$13*'Historic Prices'!D95*'Prices and Spreads'!K$4/100</f>
        <v>120.46923827497133</v>
      </c>
    </row>
    <row r="101" spans="1:17" ht="15">
      <c r="A101" s="93">
        <v>35400</v>
      </c>
      <c r="B101" s="84">
        <v>68.86</v>
      </c>
      <c r="C101" s="84">
        <v>67.33</v>
      </c>
      <c r="D101" s="84">
        <v>67.74</v>
      </c>
      <c r="E101" s="84">
        <v>2.45</v>
      </c>
      <c r="F101" s="84">
        <f>2000/56*E101*'Cattle Returns'!C$5*'Cattle Returns'!C$4</f>
        <v>31.500000000000007</v>
      </c>
      <c r="G101" s="84">
        <v>60</v>
      </c>
      <c r="H101" s="84">
        <v>300</v>
      </c>
      <c r="I101" s="84">
        <f t="shared" si="1"/>
        <v>24.5</v>
      </c>
      <c r="J101" s="84">
        <v>359</v>
      </c>
      <c r="K101" s="84">
        <v>161.9</v>
      </c>
      <c r="L101" s="84">
        <v>9.43</v>
      </c>
      <c r="N101" s="107">
        <f>AVERAGE($E95:$E101)*'Assumptions and Rations'!G$28+AVERAGE($F95:$F101)*'Assumptions and Rations'!G$31+AVERAGE($G95:$G101)*'Assumptions and Rations'!G$29+AVERAGE($I95:$I101)*'Assumptions and Rations'!G$30+'Prices and Spreads'!J$11</f>
        <v>271.8599508349754</v>
      </c>
      <c r="O101" s="107">
        <f>AVERAGE($E97:$E101)*'Assumptions and Rations'!H$28+AVERAGE($F97:$F101)*'Assumptions and Rations'!H$31+AVERAGE($G97:$G101)*'Assumptions and Rations'!H$29+AVERAGE($I97:$I101)*'Assumptions and Rations'!H$30+'Prices and Spreads'!K$11</f>
        <v>224.21310845092333</v>
      </c>
      <c r="P101" s="107">
        <f>N101*0.5*$L94/100*7/12+'Prices and Spreads'!J$15*'Prices and Spreads'!J$7+'Prices and Spreads'!J$14+'Prices and Spreads'!J$12+'Prices and Spreads'!J$13*'Historic Prices'!B94*'Prices and Spreads'!J$4/100</f>
        <v>145.21502858484058</v>
      </c>
      <c r="Q101" s="107">
        <f>O101*0.5*$L96/100*5/12+'Prices and Spreads'!K$15*'Prices and Spreads'!K$7+'Prices and Spreads'!K$14+'Prices and Spreads'!K$12+'Prices and Spreads'!K$13*'Historic Prices'!D96*'Prices and Spreads'!K$4/100</f>
        <v>120.16715220513905</v>
      </c>
    </row>
    <row r="102" spans="1:17" ht="15">
      <c r="A102" s="93">
        <v>35431</v>
      </c>
      <c r="B102" s="84">
        <v>74.03</v>
      </c>
      <c r="C102" s="84">
        <v>69.95</v>
      </c>
      <c r="D102" s="84">
        <v>65.47</v>
      </c>
      <c r="E102" s="84">
        <v>2.47</v>
      </c>
      <c r="F102" s="84">
        <f>2000/56*E102*'Cattle Returns'!C$5*'Cattle Returns'!C$4</f>
        <v>31.757142857142863</v>
      </c>
      <c r="G102" s="84">
        <v>60</v>
      </c>
      <c r="H102" s="84">
        <v>300</v>
      </c>
      <c r="I102" s="84">
        <f t="shared" si="1"/>
        <v>24.700000000000003</v>
      </c>
      <c r="J102" s="84">
        <v>356</v>
      </c>
      <c r="K102" s="84">
        <v>161.9</v>
      </c>
      <c r="L102" s="84">
        <v>8.93</v>
      </c>
      <c r="N102" s="107">
        <f>AVERAGE($E96:$E102)*'Assumptions and Rations'!G$28+AVERAGE($F96:$F102)*'Assumptions and Rations'!G$31+AVERAGE($G96:$G102)*'Assumptions and Rations'!G$29+AVERAGE($I96:$I102)*'Assumptions and Rations'!G$30+'Prices and Spreads'!J$11</f>
        <v>256.1229726914823</v>
      </c>
      <c r="O102" s="107">
        <f>AVERAGE($E98:$E102)*'Assumptions and Rations'!H$28+AVERAGE($F98:$F102)*'Assumptions and Rations'!H$31+AVERAGE($G98:$G102)*'Assumptions and Rations'!H$29+AVERAGE($I98:$I102)*'Assumptions and Rations'!H$30+'Prices and Spreads'!K$11</f>
        <v>198.0885767875266</v>
      </c>
      <c r="P102" s="107">
        <f>N102*0.5*$L95/100*7/12+'Prices and Spreads'!J$15*'Prices and Spreads'!J$7+'Prices and Spreads'!J$14+'Prices and Spreads'!J$12+'Prices and Spreads'!J$13*'Historic Prices'!B95*'Prices and Spreads'!J$4/100</f>
        <v>145.08482087494485</v>
      </c>
      <c r="Q102" s="107">
        <f>O102*0.5*$L97/100*5/12+'Prices and Spreads'!K$15*'Prices and Spreads'!K$7+'Prices and Spreads'!K$14+'Prices and Spreads'!K$12+'Prices and Spreads'!K$13*'Historic Prices'!D97*'Prices and Spreads'!K$4/100</f>
        <v>119.8161270639846</v>
      </c>
    </row>
    <row r="103" spans="1:17" ht="15">
      <c r="A103" s="93">
        <v>35462</v>
      </c>
      <c r="B103" s="84">
        <v>79.92</v>
      </c>
      <c r="C103" s="84">
        <v>70.01</v>
      </c>
      <c r="D103" s="84">
        <v>64.9</v>
      </c>
      <c r="E103" s="84">
        <v>2.55</v>
      </c>
      <c r="F103" s="84">
        <f>2000/56*E103*'Cattle Returns'!C$5*'Cattle Returns'!C$4</f>
        <v>32.785714285714285</v>
      </c>
      <c r="G103" s="84">
        <v>60</v>
      </c>
      <c r="H103" s="84">
        <v>300</v>
      </c>
      <c r="I103" s="84">
        <f t="shared" si="1"/>
        <v>25.5</v>
      </c>
      <c r="J103" s="84">
        <v>363.2</v>
      </c>
      <c r="K103" s="84">
        <v>161.9</v>
      </c>
      <c r="L103" s="84">
        <v>8.93</v>
      </c>
      <c r="N103" s="107">
        <f>AVERAGE($E97:$E103)*'Assumptions and Rations'!G$28+AVERAGE($F97:$F103)*'Assumptions and Rations'!G$31+AVERAGE($G97:$G103)*'Assumptions and Rations'!G$29+AVERAGE($I97:$I103)*'Assumptions and Rations'!G$30+'Prices and Spreads'!J$11</f>
        <v>237.6967641057467</v>
      </c>
      <c r="O103" s="107">
        <f>AVERAGE($E99:$E103)*'Assumptions and Rations'!H$28+AVERAGE($F99:$F103)*'Assumptions and Rations'!H$31+AVERAGE($G99:$G103)*'Assumptions and Rations'!H$29+AVERAGE($I99:$I103)*'Assumptions and Rations'!H$30+'Prices and Spreads'!K$11</f>
        <v>185.65430450542905</v>
      </c>
      <c r="P103" s="107">
        <f>N103*0.5*$L96/100*7/12+'Prices and Spreads'!J$15*'Prices and Spreads'!J$7+'Prices and Spreads'!J$14+'Prices and Spreads'!J$12+'Prices and Spreads'!J$13*'Historic Prices'!B96*'Prices and Spreads'!J$4/100</f>
        <v>144.50011991715556</v>
      </c>
      <c r="Q103" s="107">
        <f>O103*0.5*$L98/100*5/12+'Prices and Spreads'!K$15*'Prices and Spreads'!K$7+'Prices and Spreads'!K$14+'Prices and Spreads'!K$12+'Prices and Spreads'!K$13*'Historic Prices'!D98*'Prices and Spreads'!K$4/100</f>
        <v>119.78336029006975</v>
      </c>
    </row>
    <row r="104" spans="1:17" ht="15">
      <c r="A104" s="93">
        <v>35490</v>
      </c>
      <c r="B104" s="84">
        <v>86.3</v>
      </c>
      <c r="C104" s="84">
        <v>69.51</v>
      </c>
      <c r="D104" s="84">
        <v>67.64</v>
      </c>
      <c r="E104" s="84">
        <v>2.65</v>
      </c>
      <c r="F104" s="84">
        <f>2000/56*E104*'Cattle Returns'!C$5*'Cattle Returns'!C$4</f>
        <v>34.07142857142858</v>
      </c>
      <c r="G104" s="84">
        <v>60</v>
      </c>
      <c r="H104" s="84">
        <v>300</v>
      </c>
      <c r="I104" s="84">
        <f t="shared" si="1"/>
        <v>26.5</v>
      </c>
      <c r="J104" s="84">
        <v>372</v>
      </c>
      <c r="K104" s="84">
        <v>163.6</v>
      </c>
      <c r="L104" s="84">
        <v>9.55</v>
      </c>
      <c r="N104" s="107">
        <f>AVERAGE($E98:$E104)*'Assumptions and Rations'!G$28+AVERAGE($F98:$F104)*'Assumptions and Rations'!G$31+AVERAGE($G98:$G104)*'Assumptions and Rations'!G$29+AVERAGE($I98:$I104)*'Assumptions and Rations'!G$30+'Prices and Spreads'!J$11</f>
        <v>218.77254988255882</v>
      </c>
      <c r="O104" s="107">
        <f>AVERAGE($E100:$E104)*'Assumptions and Rations'!H$28+AVERAGE($F100:$F104)*'Assumptions and Rations'!H$31+AVERAGE($G100:$G104)*'Assumptions and Rations'!H$29+AVERAGE($I100:$I104)*'Assumptions and Rations'!H$30+'Prices and Spreads'!K$11</f>
        <v>180.75595481854222</v>
      </c>
      <c r="P104" s="107">
        <f>N104*0.5*$L97/100*7/12+'Prices and Spreads'!J$15*'Prices and Spreads'!J$7+'Prices and Spreads'!J$14+'Prices and Spreads'!J$12+'Prices and Spreads'!J$13*'Historic Prices'!B97*'Prices and Spreads'!J$4/100</f>
        <v>144.3999229875341</v>
      </c>
      <c r="Q104" s="107">
        <f>O104*0.5*$L99/100*5/12+'Prices and Spreads'!K$15*'Prices and Spreads'!K$7+'Prices and Spreads'!K$14+'Prices and Spreads'!K$12+'Prices and Spreads'!K$13*'Historic Prices'!D99*'Prices and Spreads'!K$4/100</f>
        <v>119.75016807610328</v>
      </c>
    </row>
    <row r="105" spans="1:17" ht="15">
      <c r="A105" s="93">
        <v>35521</v>
      </c>
      <c r="B105" s="84">
        <v>87.29</v>
      </c>
      <c r="C105" s="84">
        <v>73.18</v>
      </c>
      <c r="D105" s="84">
        <v>67.66</v>
      </c>
      <c r="E105" s="84">
        <v>2.71</v>
      </c>
      <c r="F105" s="84">
        <f>2000/56*E105*'Cattle Returns'!C$5*'Cattle Returns'!C$4</f>
        <v>34.84285714285715</v>
      </c>
      <c r="G105" s="84">
        <v>60</v>
      </c>
      <c r="H105" s="84">
        <v>300</v>
      </c>
      <c r="I105" s="84">
        <f t="shared" si="1"/>
        <v>27.1</v>
      </c>
      <c r="J105" s="84">
        <v>381.2</v>
      </c>
      <c r="K105" s="84">
        <v>163.6</v>
      </c>
      <c r="L105" s="84">
        <v>9.18</v>
      </c>
      <c r="N105" s="107">
        <f>AVERAGE($E99:$E105)*'Assumptions and Rations'!G$28+AVERAGE($F99:$F105)*'Assumptions and Rations'!G$31+AVERAGE($G99:$G105)*'Assumptions and Rations'!G$29+AVERAGE($I99:$I105)*'Assumptions and Rations'!G$30+'Prices and Spreads'!J$11</f>
        <v>210.5056563008504</v>
      </c>
      <c r="O105" s="107">
        <f>AVERAGE($E101:$E105)*'Assumptions and Rations'!H$28+AVERAGE($F101:$F105)*'Assumptions and Rations'!H$31+AVERAGE($G101:$G105)*'Assumptions and Rations'!H$29+AVERAGE($I101:$I105)*'Assumptions and Rations'!H$30+'Prices and Spreads'!K$11</f>
        <v>182.76553417726504</v>
      </c>
      <c r="P105" s="107">
        <f>N105*0.5*$L98/100*7/12+'Prices and Spreads'!J$15*'Prices and Spreads'!J$7+'Prices and Spreads'!J$14+'Prices and Spreads'!J$12+'Prices and Spreads'!J$13*'Historic Prices'!B98*'Prices and Spreads'!J$4/100</f>
        <v>144.14335485512052</v>
      </c>
      <c r="Q105" s="107">
        <f>O105*0.5*$L100/100*5/12+'Prices and Spreads'!K$15*'Prices and Spreads'!K$7+'Prices and Spreads'!K$14+'Prices and Spreads'!K$12+'Prices and Spreads'!K$13*'Historic Prices'!D100*'Prices and Spreads'!K$4/100</f>
        <v>119.85786712542286</v>
      </c>
    </row>
    <row r="106" spans="1:17" ht="15">
      <c r="A106" s="93">
        <v>35551</v>
      </c>
      <c r="B106" s="84">
        <v>88.94</v>
      </c>
      <c r="C106" s="84">
        <v>77.07</v>
      </c>
      <c r="D106" s="84">
        <v>67.56</v>
      </c>
      <c r="E106" s="84">
        <v>2.62</v>
      </c>
      <c r="F106" s="84">
        <f>2000/56*E106*'Cattle Returns'!C$5*'Cattle Returns'!C$4</f>
        <v>33.68571428571429</v>
      </c>
      <c r="G106" s="84">
        <v>60</v>
      </c>
      <c r="H106" s="84">
        <v>300</v>
      </c>
      <c r="I106" s="84">
        <f t="shared" si="1"/>
        <v>26.200000000000003</v>
      </c>
      <c r="J106" s="84">
        <v>386.8</v>
      </c>
      <c r="K106" s="84">
        <v>163.6</v>
      </c>
      <c r="L106" s="84">
        <v>9.31</v>
      </c>
      <c r="N106" s="107">
        <f>AVERAGE($E100:$E106)*'Assumptions and Rations'!G$28+AVERAGE($F100:$F106)*'Assumptions and Rations'!G$31+AVERAGE($G100:$G106)*'Assumptions and Rations'!G$29+AVERAGE($I100:$I106)*'Assumptions and Rations'!G$30+'Prices and Spreads'!J$11</f>
        <v>206.32240894625102</v>
      </c>
      <c r="O106" s="107">
        <f>AVERAGE($E102:$E106)*'Assumptions and Rations'!H$28+AVERAGE($F102:$F106)*'Assumptions and Rations'!H$31+AVERAGE($G102:$G106)*'Assumptions and Rations'!H$29+AVERAGE($I102:$I106)*'Assumptions and Rations'!H$30+'Prices and Spreads'!K$11</f>
        <v>184.90071224590804</v>
      </c>
      <c r="P106" s="107">
        <f>N106*0.5*$L99/100*7/12+'Prices and Spreads'!J$15*'Prices and Spreads'!J$7+'Prices and Spreads'!J$14+'Prices and Spreads'!J$12+'Prices and Spreads'!J$13*'Historic Prices'!B99*'Prices and Spreads'!J$4/100</f>
        <v>143.97087369173053</v>
      </c>
      <c r="Q106" s="107">
        <f>O106*0.5*$L101/100*5/12+'Prices and Spreads'!K$15*'Prices and Spreads'!K$7+'Prices and Spreads'!K$14+'Prices and Spreads'!K$12+'Prices and Spreads'!K$13*'Historic Prices'!D101*'Prices and Spreads'!K$4/100</f>
        <v>119.85957024266439</v>
      </c>
    </row>
    <row r="107" spans="1:17" ht="15">
      <c r="A107" s="93">
        <v>35582</v>
      </c>
      <c r="B107" s="84">
        <v>85.47</v>
      </c>
      <c r="C107" s="84">
        <v>76.67</v>
      </c>
      <c r="D107" s="84">
        <v>63.89</v>
      </c>
      <c r="E107" s="84">
        <v>2.48</v>
      </c>
      <c r="F107" s="84">
        <f>2000/56*E107*'Cattle Returns'!C$5*'Cattle Returns'!C$4</f>
        <v>31.885714285714286</v>
      </c>
      <c r="G107" s="84">
        <v>60</v>
      </c>
      <c r="H107" s="84">
        <v>300</v>
      </c>
      <c r="I107" s="84">
        <f t="shared" si="1"/>
        <v>24.8</v>
      </c>
      <c r="J107" s="84">
        <v>371</v>
      </c>
      <c r="K107" s="84">
        <v>163.6</v>
      </c>
      <c r="L107" s="84">
        <v>9.31</v>
      </c>
      <c r="N107" s="107">
        <f>AVERAGE($E101:$E107)*'Assumptions and Rations'!G$28+AVERAGE($F101:$F107)*'Assumptions and Rations'!G$31+AVERAGE($G101:$G107)*'Assumptions and Rations'!G$29+AVERAGE($I101:$I107)*'Assumptions and Rations'!G$30+'Prices and Spreads'!J$11</f>
        <v>205.62520105381773</v>
      </c>
      <c r="O107" s="107">
        <f>AVERAGE($E103:$E107)*'Assumptions and Rations'!H$28+AVERAGE($F103:$F107)*'Assumptions and Rations'!H$31+AVERAGE($G103:$G107)*'Assumptions and Rations'!H$29+AVERAGE($I103:$I107)*'Assumptions and Rations'!H$30+'Prices and Spreads'!K$11</f>
        <v>185.0263109558282</v>
      </c>
      <c r="P107" s="107">
        <f>N107*0.5*$L100/100*7/12+'Prices and Spreads'!J$15*'Prices and Spreads'!J$7+'Prices and Spreads'!J$14+'Prices and Spreads'!J$12+'Prices and Spreads'!J$13*'Historic Prices'!B100*'Prices and Spreads'!J$4/100</f>
        <v>144.2249643311655</v>
      </c>
      <c r="Q107" s="107">
        <f>O107*0.5*$L102/100*5/12+'Prices and Spreads'!K$15*'Prices and Spreads'!K$7+'Prices and Spreads'!K$14+'Prices and Spreads'!K$12+'Prices and Spreads'!K$13*'Historic Prices'!D102*'Prices and Spreads'!K$4/100</f>
        <v>119.54161449340738</v>
      </c>
    </row>
    <row r="108" spans="1:17" ht="15">
      <c r="A108" s="93">
        <v>35612</v>
      </c>
      <c r="B108" s="84">
        <v>88.17</v>
      </c>
      <c r="C108" s="84">
        <v>80.19</v>
      </c>
      <c r="D108" s="84">
        <v>63.69</v>
      </c>
      <c r="E108" s="84">
        <v>2.36</v>
      </c>
      <c r="F108" s="84">
        <f>2000/56*E108*'Cattle Returns'!C$5*'Cattle Returns'!C$4</f>
        <v>30.34285714285714</v>
      </c>
      <c r="G108" s="84">
        <v>60</v>
      </c>
      <c r="H108" s="84">
        <v>300</v>
      </c>
      <c r="I108" s="84">
        <f t="shared" si="1"/>
        <v>23.599999999999998</v>
      </c>
      <c r="J108" s="84">
        <v>352.6</v>
      </c>
      <c r="K108" s="84">
        <v>167</v>
      </c>
      <c r="L108" s="84">
        <v>9.31</v>
      </c>
      <c r="N108" s="107">
        <f>AVERAGE($E102:$E108)*'Assumptions and Rations'!G$28+AVERAGE($F102:$F108)*'Assumptions and Rations'!G$31+AVERAGE($G102:$G108)*'Assumptions and Rations'!G$29+AVERAGE($I102:$I108)*'Assumptions and Rations'!G$30+'Prices and Spreads'!J$11</f>
        <v>204.72879090640356</v>
      </c>
      <c r="O108" s="107">
        <f>AVERAGE($E104:$E108)*'Assumptions and Rations'!H$28+AVERAGE($F104:$F108)*'Assumptions and Rations'!H$31+AVERAGE($G104:$G108)*'Assumptions and Rations'!H$29+AVERAGE($I104:$I108)*'Assumptions and Rations'!H$30+'Prices and Spreads'!K$11</f>
        <v>182.63993546734486</v>
      </c>
      <c r="P108" s="107">
        <f>N108*0.5*$L101/100*7/12+'Prices and Spreads'!J$15*'Prices and Spreads'!J$7+'Prices and Spreads'!J$14+'Prices and Spreads'!J$12+'Prices and Spreads'!J$13*'Historic Prices'!B101*'Prices and Spreads'!J$4/100</f>
        <v>144.62722940193947</v>
      </c>
      <c r="Q108" s="107">
        <f>O108*0.5*$L103/100*5/12+'Prices and Spreads'!K$15*'Prices and Spreads'!K$7+'Prices and Spreads'!K$14+'Prices and Spreads'!K$12+'Prices and Spreads'!K$13*'Historic Prices'!D103*'Prices and Spreads'!K$4/100</f>
        <v>119.4651554660904</v>
      </c>
    </row>
    <row r="109" spans="1:17" ht="15">
      <c r="A109" s="93">
        <v>35643</v>
      </c>
      <c r="B109" s="84">
        <v>91.08</v>
      </c>
      <c r="C109" s="84">
        <v>81.01</v>
      </c>
      <c r="D109" s="84">
        <v>65.37</v>
      </c>
      <c r="E109" s="84">
        <v>2.37</v>
      </c>
      <c r="F109" s="84">
        <f>2000/56*E109*'Cattle Returns'!C$5*'Cattle Returns'!C$4</f>
        <v>30.47142857142858</v>
      </c>
      <c r="G109" s="84">
        <v>60</v>
      </c>
      <c r="H109" s="84">
        <v>300</v>
      </c>
      <c r="I109" s="84">
        <f t="shared" si="1"/>
        <v>23.700000000000003</v>
      </c>
      <c r="J109" s="84">
        <v>358.4</v>
      </c>
      <c r="K109" s="84">
        <v>167</v>
      </c>
      <c r="L109" s="84">
        <v>9.31</v>
      </c>
      <c r="N109" s="107">
        <f>AVERAGE($E103:$E109)*'Assumptions and Rations'!G$28+AVERAGE($F103:$F109)*'Assumptions and Rations'!G$31+AVERAGE($G103:$G109)*'Assumptions and Rations'!G$29+AVERAGE($I103:$I109)*'Assumptions and Rations'!G$30+'Prices and Spreads'!J$11</f>
        <v>203.73277963149894</v>
      </c>
      <c r="O109" s="107">
        <f>AVERAGE($E105:$E109)*'Assumptions and Rations'!H$28+AVERAGE($F105:$F109)*'Assumptions and Rations'!H$31+AVERAGE($G105:$G109)*'Assumptions and Rations'!H$29+AVERAGE($I105:$I109)*'Assumptions and Rations'!H$30+'Prices and Spreads'!K$11</f>
        <v>179.1231715895799</v>
      </c>
      <c r="P109" s="107">
        <f>N109*0.5*$L102/100*7/12+'Prices and Spreads'!J$15*'Prices and Spreads'!J$7+'Prices and Spreads'!J$14+'Prices and Spreads'!J$12+'Prices and Spreads'!J$13*'Historic Prices'!B102*'Prices and Spreads'!J$4/100</f>
        <v>144.72924963820336</v>
      </c>
      <c r="Q109" s="107">
        <f>O109*0.5*$L104/100*5/12+'Prices and Spreads'!K$15*'Prices and Spreads'!K$7+'Prices and Spreads'!K$14+'Prices and Spreads'!K$12+'Prices and Spreads'!K$13*'Historic Prices'!D104*'Prices and Spreads'!K$4/100</f>
        <v>119.78522143475101</v>
      </c>
    </row>
    <row r="110" spans="1:17" ht="15">
      <c r="A110" s="93">
        <v>35674</v>
      </c>
      <c r="B110" s="84">
        <v>89.11</v>
      </c>
      <c r="C110" s="84">
        <v>79.43</v>
      </c>
      <c r="D110" s="84">
        <v>65.63</v>
      </c>
      <c r="E110" s="84">
        <v>2.4</v>
      </c>
      <c r="F110" s="84">
        <f>2000/56*E110*'Cattle Returns'!C$5*'Cattle Returns'!C$4</f>
        <v>30.857142857142858</v>
      </c>
      <c r="G110" s="84">
        <v>60</v>
      </c>
      <c r="H110" s="84">
        <v>300</v>
      </c>
      <c r="I110" s="84">
        <f t="shared" si="1"/>
        <v>24</v>
      </c>
      <c r="J110" s="84">
        <v>364</v>
      </c>
      <c r="K110" s="84">
        <v>167</v>
      </c>
      <c r="L110" s="84">
        <v>9.31</v>
      </c>
      <c r="N110" s="107">
        <f>AVERAGE($E104:$E110)*'Assumptions and Rations'!G$28+AVERAGE($F104:$F110)*'Assumptions and Rations'!G$31+AVERAGE($G104:$G110)*'Assumptions and Rations'!G$29+AVERAGE($I104:$I110)*'Assumptions and Rations'!G$30+'Prices and Spreads'!J$11</f>
        <v>202.23876271914202</v>
      </c>
      <c r="O110" s="107">
        <f>AVERAGE($E106:$E110)*'Assumptions and Rations'!H$28+AVERAGE($F106:$F110)*'Assumptions and Rations'!H$31+AVERAGE($G106:$G110)*'Assumptions and Rations'!H$29+AVERAGE($I106:$I110)*'Assumptions and Rations'!H$30+'Prices and Spreads'!K$11</f>
        <v>175.22961158205445</v>
      </c>
      <c r="P110" s="107">
        <f>N110*0.5*$L103/100*7/12+'Prices and Spreads'!J$15*'Prices and Spreads'!J$7+'Prices and Spreads'!J$14+'Prices and Spreads'!J$12+'Prices and Spreads'!J$13*'Historic Prices'!B103*'Prices and Spreads'!J$4/100</f>
        <v>145.17626172270693</v>
      </c>
      <c r="Q110" s="107">
        <f>O110*0.5*$L105/100*5/12+'Prices and Spreads'!K$15*'Prices and Spreads'!K$7+'Prices and Spreads'!K$14+'Prices and Spreads'!K$12+'Prices and Spreads'!K$13*'Historic Prices'!D105*'Prices and Spreads'!K$4/100</f>
        <v>119.57380798817344</v>
      </c>
    </row>
    <row r="111" spans="1:17" ht="15">
      <c r="A111" s="93">
        <v>35704</v>
      </c>
      <c r="B111" s="84">
        <v>87.33</v>
      </c>
      <c r="C111" s="84">
        <v>77.89</v>
      </c>
      <c r="D111" s="84">
        <v>66.99</v>
      </c>
      <c r="E111" s="84">
        <v>2.52</v>
      </c>
      <c r="F111" s="84">
        <f>2000/56*E111*'Cattle Returns'!C$5*'Cattle Returns'!C$4</f>
        <v>32.4</v>
      </c>
      <c r="G111" s="84">
        <v>60</v>
      </c>
      <c r="H111" s="84">
        <v>300</v>
      </c>
      <c r="I111" s="84">
        <f t="shared" si="1"/>
        <v>25.2</v>
      </c>
      <c r="J111" s="84">
        <v>340</v>
      </c>
      <c r="K111" s="84">
        <v>167</v>
      </c>
      <c r="L111" s="84">
        <v>9.31</v>
      </c>
      <c r="N111" s="107">
        <f>AVERAGE($E105:$E111)*'Assumptions and Rations'!G$28+AVERAGE($F105:$F111)*'Assumptions and Rations'!G$31+AVERAGE($G105:$G111)*'Assumptions and Rations'!G$29+AVERAGE($I105:$I111)*'Assumptions and Rations'!G$30+'Prices and Spreads'!J$11</f>
        <v>200.943948061766</v>
      </c>
      <c r="O111" s="107">
        <f>AVERAGE($E107:$E111)*'Assumptions and Rations'!H$28+AVERAGE($F107:$F111)*'Assumptions and Rations'!H$31+AVERAGE($G107:$G111)*'Assumptions and Rations'!H$29+AVERAGE($I107:$I111)*'Assumptions and Rations'!H$30+'Prices and Spreads'!K$11</f>
        <v>173.97362448285267</v>
      </c>
      <c r="P111" s="107">
        <f>N111*0.5*$L104/100*7/12+'Prices and Spreads'!J$15*'Prices and Spreads'!J$7+'Prices and Spreads'!J$14+'Prices and Spreads'!J$12+'Prices and Spreads'!J$13*'Historic Prices'!B104*'Prices and Spreads'!J$4/100</f>
        <v>146.03226083535506</v>
      </c>
      <c r="Q111" s="107">
        <f>O111*0.5*$L106/100*5/12+'Prices and Spreads'!K$15*'Prices and Spreads'!K$7+'Prices and Spreads'!K$14+'Prices and Spreads'!K$12+'Prices and Spreads'!K$13*'Historic Prices'!D106*'Prices and Spreads'!K$4/100</f>
        <v>119.591280091532</v>
      </c>
    </row>
    <row r="112" spans="1:17" ht="15">
      <c r="A112" s="93">
        <v>35735</v>
      </c>
      <c r="B112" s="84">
        <v>87</v>
      </c>
      <c r="C112" s="84">
        <v>78.75</v>
      </c>
      <c r="D112" s="84">
        <v>66.8</v>
      </c>
      <c r="E112" s="84">
        <v>2.44</v>
      </c>
      <c r="F112" s="84">
        <f>2000/56*E112*'Cattle Returns'!C$5*'Cattle Returns'!C$4</f>
        <v>31.371428571428574</v>
      </c>
      <c r="G112" s="84">
        <v>60</v>
      </c>
      <c r="H112" s="84">
        <v>300</v>
      </c>
      <c r="I112" s="84">
        <f t="shared" si="1"/>
        <v>24.4</v>
      </c>
      <c r="J112" s="84">
        <v>351</v>
      </c>
      <c r="K112" s="84">
        <v>167</v>
      </c>
      <c r="L112" s="84">
        <v>9.31</v>
      </c>
      <c r="N112" s="107">
        <f>AVERAGE($E106:$E112)*'Assumptions and Rations'!G$28+AVERAGE($F106:$F112)*'Assumptions and Rations'!G$31+AVERAGE($G106:$G112)*'Assumptions and Rations'!G$29+AVERAGE($I106:$I112)*'Assumptions and Rations'!G$30+'Prices and Spreads'!J$11</f>
        <v>198.2547176195235</v>
      </c>
      <c r="O112" s="107">
        <f>AVERAGE($E108:$E112)*'Assumptions and Rations'!H$28+AVERAGE($F108:$F112)*'Assumptions and Rations'!H$31+AVERAGE($G108:$G112)*'Assumptions and Rations'!H$29+AVERAGE($I108:$I112)*'Assumptions and Rations'!H$30+'Prices and Spreads'!K$11</f>
        <v>173.471229643172</v>
      </c>
      <c r="P112" s="107">
        <f>N112*0.5*$L105/100*7/12+'Prices and Spreads'!J$15*'Prices and Spreads'!J$7+'Prices and Spreads'!J$14+'Prices and Spreads'!J$12+'Prices and Spreads'!J$13*'Historic Prices'!B105*'Prices and Spreads'!J$4/100</f>
        <v>145.82507967964736</v>
      </c>
      <c r="Q112" s="107">
        <f>O112*0.5*$L107/100*5/12+'Prices and Spreads'!K$15*'Prices and Spreads'!K$7+'Prices and Spreads'!K$14+'Prices and Spreads'!K$12+'Prices and Spreads'!K$13*'Historic Prices'!D107*'Prices and Spreads'!K$4/100</f>
        <v>119.37509822495402</v>
      </c>
    </row>
    <row r="113" spans="1:17" ht="15">
      <c r="A113" s="93">
        <v>35765</v>
      </c>
      <c r="B113" s="84">
        <v>88.99</v>
      </c>
      <c r="C113" s="84">
        <v>81.1</v>
      </c>
      <c r="D113" s="84">
        <v>65.42</v>
      </c>
      <c r="E113" s="84">
        <v>2.41</v>
      </c>
      <c r="F113" s="84">
        <f>2000/56*E113*'Cattle Returns'!C$5*'Cattle Returns'!C$4</f>
        <v>30.98571428571429</v>
      </c>
      <c r="G113" s="84">
        <v>60</v>
      </c>
      <c r="H113" s="84">
        <v>300</v>
      </c>
      <c r="I113" s="84">
        <f t="shared" si="1"/>
        <v>24.1</v>
      </c>
      <c r="J113" s="84">
        <v>339.5</v>
      </c>
      <c r="K113" s="84">
        <v>167</v>
      </c>
      <c r="L113" s="84">
        <v>9.31</v>
      </c>
      <c r="N113" s="107">
        <f>AVERAGE($E107:$E113)*'Assumptions and Rations'!G$28+AVERAGE($F107:$F113)*'Assumptions and Rations'!G$31+AVERAGE($G107:$G113)*'Assumptions and Rations'!G$29+AVERAGE($I107:$I113)*'Assumptions and Rations'!G$30+'Prices and Spreads'!J$11</f>
        <v>196.16309394222375</v>
      </c>
      <c r="O113" s="107">
        <f>AVERAGE($E109:$E113)*'Assumptions and Rations'!H$28+AVERAGE($F109:$F113)*'Assumptions and Rations'!H$31+AVERAGE($G109:$G113)*'Assumptions and Rations'!H$29+AVERAGE($I109:$I113)*'Assumptions and Rations'!H$30+'Prices and Spreads'!K$11</f>
        <v>174.09922319277283</v>
      </c>
      <c r="P113" s="107">
        <f>N113*0.5*$L106/100*7/12+'Prices and Spreads'!J$15*'Prices and Spreads'!J$7+'Prices and Spreads'!J$14+'Prices and Spreads'!J$12+'Prices and Spreads'!J$13*'Historic Prices'!B106*'Prices and Spreads'!J$4/100</f>
        <v>145.97957996214075</v>
      </c>
      <c r="Q113" s="107">
        <f>O113*0.5*$L108/100*5/12+'Prices and Spreads'!K$15*'Prices and Spreads'!K$7+'Prices and Spreads'!K$14+'Prices and Spreads'!K$12+'Prices and Spreads'!K$13*'Historic Prices'!D108*'Prices and Spreads'!K$4/100</f>
        <v>119.37602868317647</v>
      </c>
    </row>
    <row r="114" spans="1:17" ht="15">
      <c r="A114" s="93">
        <v>35796</v>
      </c>
      <c r="B114" s="84">
        <v>88.02</v>
      </c>
      <c r="C114" s="84">
        <v>78.17</v>
      </c>
      <c r="D114" s="84">
        <v>64.04</v>
      </c>
      <c r="E114" s="84">
        <v>2.48</v>
      </c>
      <c r="F114" s="84">
        <f>2000/56*E114*'Cattle Returns'!C$5*'Cattle Returns'!C$4</f>
        <v>31.885714285714286</v>
      </c>
      <c r="G114" s="84">
        <v>60</v>
      </c>
      <c r="H114" s="84">
        <v>300</v>
      </c>
      <c r="I114" s="84">
        <f t="shared" si="1"/>
        <v>24.8</v>
      </c>
      <c r="J114" s="84">
        <v>322</v>
      </c>
      <c r="K114" s="84">
        <v>167</v>
      </c>
      <c r="L114" s="84">
        <v>9.31</v>
      </c>
      <c r="N114" s="107">
        <f>AVERAGE($E108:$E114)*'Assumptions and Rations'!G$28+AVERAGE($F108:$F114)*'Assumptions and Rations'!G$31+AVERAGE($G108:$G114)*'Assumptions and Rations'!G$29+AVERAGE($I108:$I114)*'Assumptions and Rations'!G$30+'Prices and Spreads'!J$11</f>
        <v>196.16309394222378</v>
      </c>
      <c r="O114" s="107">
        <f>AVERAGE($E110:$E114)*'Assumptions and Rations'!H$28+AVERAGE($F110:$F114)*'Assumptions and Rations'!H$31+AVERAGE($G110:$G114)*'Assumptions and Rations'!H$29+AVERAGE($I110:$I114)*'Assumptions and Rations'!H$30+'Prices and Spreads'!K$11</f>
        <v>175.48080900189478</v>
      </c>
      <c r="P114" s="107">
        <f>N114*0.5*$L107/100*7/12+'Prices and Spreads'!J$15*'Prices and Spreads'!J$7+'Prices and Spreads'!J$14+'Prices and Spreads'!J$12+'Prices and Spreads'!J$13*'Historic Prices'!B107*'Prices and Spreads'!J$4/100</f>
        <v>145.69330496214076</v>
      </c>
      <c r="Q114" s="107">
        <f>O114*0.5*$L109/100*5/12+'Prices and Spreads'!K$15*'Prices and Spreads'!K$7+'Prices and Spreads'!K$14+'Prices and Spreads'!K$12+'Prices and Spreads'!K$13*'Historic Prices'!D109*'Prices and Spreads'!K$4/100</f>
        <v>119.49732569126591</v>
      </c>
    </row>
    <row r="115" spans="1:17" ht="15">
      <c r="A115" s="93">
        <v>35827</v>
      </c>
      <c r="B115" s="84">
        <v>89.15</v>
      </c>
      <c r="C115" s="84">
        <v>75.93</v>
      </c>
      <c r="D115" s="84">
        <v>60.85</v>
      </c>
      <c r="E115" s="84">
        <v>2.44</v>
      </c>
      <c r="F115" s="84">
        <f>2000/56*E115*'Cattle Returns'!C$5*'Cattle Returns'!C$4</f>
        <v>31.371428571428574</v>
      </c>
      <c r="G115" s="84">
        <v>60</v>
      </c>
      <c r="H115" s="84">
        <v>300</v>
      </c>
      <c r="I115" s="84">
        <f t="shared" si="1"/>
        <v>24.4</v>
      </c>
      <c r="J115" s="84">
        <v>308.5</v>
      </c>
      <c r="K115" s="84">
        <v>165.7</v>
      </c>
      <c r="L115" s="84">
        <v>9.31</v>
      </c>
      <c r="N115" s="107">
        <f>AVERAGE($E109:$E115)*'Assumptions and Rations'!G$28+AVERAGE($F109:$F115)*'Assumptions and Rations'!G$31+AVERAGE($G109:$G115)*'Assumptions and Rations'!G$29+AVERAGE($I109:$I115)*'Assumptions and Rations'!G$30+'Prices and Spreads'!J$11</f>
        <v>196.95990296214748</v>
      </c>
      <c r="O115" s="107">
        <f>AVERAGE($E111:$E115)*'Assumptions and Rations'!H$28+AVERAGE($F111:$F115)*'Assumptions and Rations'!H$31+AVERAGE($G111:$G115)*'Assumptions and Rations'!H$29+AVERAGE($I111:$I115)*'Assumptions and Rations'!H$30+'Prices and Spreads'!K$11</f>
        <v>175.9832038415755</v>
      </c>
      <c r="P115" s="107">
        <f>N115*0.5*$L108/100*7/12+'Prices and Spreads'!J$15*'Prices and Spreads'!J$7+'Prices and Spreads'!J$14+'Prices and Spreads'!J$12+'Prices and Spreads'!J$13*'Historic Prices'!B108*'Prices and Spreads'!J$4/100</f>
        <v>145.93769164706924</v>
      </c>
      <c r="Q115" s="107">
        <f>O115*0.5*$L110/100*5/12+'Prices and Spreads'!K$15*'Prices and Spreads'!K$7+'Prices and Spreads'!K$14+'Prices and Spreads'!K$12+'Prices and Spreads'!K$13*'Historic Prices'!D110*'Prices and Spreads'!K$4/100</f>
        <v>119.52169505784389</v>
      </c>
    </row>
    <row r="116" spans="1:17" ht="15">
      <c r="A116" s="93">
        <v>35855</v>
      </c>
      <c r="B116" s="84">
        <v>91.82</v>
      </c>
      <c r="C116" s="84">
        <v>75.06</v>
      </c>
      <c r="D116" s="84">
        <v>61.47</v>
      </c>
      <c r="E116" s="84">
        <v>2.47</v>
      </c>
      <c r="F116" s="84">
        <f>2000/56*E116*'Cattle Returns'!C$5*'Cattle Returns'!C$4</f>
        <v>31.757142857142863</v>
      </c>
      <c r="G116" s="84">
        <v>60</v>
      </c>
      <c r="H116" s="84">
        <v>300</v>
      </c>
      <c r="I116" s="84">
        <f t="shared" si="1"/>
        <v>24.700000000000003</v>
      </c>
      <c r="J116" s="84">
        <v>298</v>
      </c>
      <c r="K116" s="84">
        <v>165.7</v>
      </c>
      <c r="L116" s="84">
        <v>9.31</v>
      </c>
      <c r="N116" s="107">
        <f>AVERAGE($E110:$E116)*'Assumptions and Rations'!G$28+AVERAGE($F110:$F116)*'Assumptions and Rations'!G$31+AVERAGE($G110:$G116)*'Assumptions and Rations'!G$29+AVERAGE($I110:$I116)*'Assumptions and Rations'!G$30+'Prices and Spreads'!J$11</f>
        <v>197.95591423705213</v>
      </c>
      <c r="O116" s="107">
        <f>AVERAGE($E112:$E116)*'Assumptions and Rations'!H$28+AVERAGE($F112:$F116)*'Assumptions and Rations'!H$31+AVERAGE($G112:$G116)*'Assumptions and Rations'!H$29+AVERAGE($I112:$I116)*'Assumptions and Rations'!H$30+'Prices and Spreads'!K$11</f>
        <v>175.3552102919746</v>
      </c>
      <c r="P116" s="107">
        <f>N116*0.5*$L109/100*7/12+'Prices and Spreads'!J$15*'Prices and Spreads'!J$7+'Prices and Spreads'!J$14+'Prices and Spreads'!J$12+'Prices and Spreads'!J$13*'Historic Prices'!B109*'Prices and Spreads'!J$4/100</f>
        <v>146.2048125032299</v>
      </c>
      <c r="Q116" s="107">
        <f>O116*0.5*$L111/100*5/12+'Prices and Spreads'!K$15*'Prices and Spreads'!K$7+'Prices and Spreads'!K$14+'Prices and Spreads'!K$12+'Prices and Spreads'!K$13*'Historic Prices'!D111*'Prices and Spreads'!K$4/100</f>
        <v>119.58601459962141</v>
      </c>
    </row>
    <row r="117" spans="1:17" ht="15">
      <c r="A117" s="93">
        <v>35886</v>
      </c>
      <c r="B117" s="84">
        <v>94.1</v>
      </c>
      <c r="C117" s="84">
        <v>75.79</v>
      </c>
      <c r="D117" s="84">
        <v>64.03</v>
      </c>
      <c r="E117" s="84">
        <v>2.31</v>
      </c>
      <c r="F117" s="84">
        <f>2000/56*E117*'Cattle Returns'!C$5*'Cattle Returns'!C$4</f>
        <v>29.700000000000003</v>
      </c>
      <c r="G117" s="84">
        <v>60</v>
      </c>
      <c r="H117" s="84">
        <v>300</v>
      </c>
      <c r="I117" s="84">
        <f t="shared" si="1"/>
        <v>23.1</v>
      </c>
      <c r="J117" s="84">
        <v>291.5</v>
      </c>
      <c r="K117" s="84">
        <v>165.7</v>
      </c>
      <c r="L117" s="84">
        <v>9.31</v>
      </c>
      <c r="N117" s="107">
        <f>AVERAGE($E111:$E117)*'Assumptions and Rations'!G$28+AVERAGE($F111:$F117)*'Assumptions and Rations'!G$31+AVERAGE($G111:$G117)*'Assumptions and Rations'!G$29+AVERAGE($I111:$I117)*'Assumptions and Rations'!G$30+'Prices and Spreads'!J$11</f>
        <v>197.05950408963795</v>
      </c>
      <c r="O117" s="107">
        <f>AVERAGE($E113:$E117)*'Assumptions and Rations'!H$28+AVERAGE($F113:$F117)*'Assumptions and Rations'!H$31+AVERAGE($G113:$G117)*'Assumptions and Rations'!H$29+AVERAGE($I113:$I117)*'Assumptions and Rations'!H$30+'Prices and Spreads'!K$11</f>
        <v>173.72242706301233</v>
      </c>
      <c r="P117" s="107">
        <f>N117*0.5*$L110/100*7/12+'Prices and Spreads'!J$15*'Prices and Spreads'!J$7+'Prices and Spreads'!J$14+'Prices and Spreads'!J$12+'Prices and Spreads'!J$13*'Historic Prices'!B110*'Prices and Spreads'!J$4/100</f>
        <v>146.01794623268532</v>
      </c>
      <c r="Q117" s="107">
        <f>O117*0.5*$L112/100*5/12+'Prices and Spreads'!K$15*'Prices and Spreads'!K$7+'Prices and Spreads'!K$14+'Prices and Spreads'!K$12+'Prices and Spreads'!K$13*'Historic Prices'!D112*'Prices and Spreads'!K$4/100</f>
        <v>119.54365790824299</v>
      </c>
    </row>
    <row r="118" spans="1:17" ht="15">
      <c r="A118" s="93">
        <v>35916</v>
      </c>
      <c r="B118" s="84">
        <v>91.64</v>
      </c>
      <c r="C118" s="84">
        <v>75.48</v>
      </c>
      <c r="D118" s="84">
        <v>64.93</v>
      </c>
      <c r="E118" s="84">
        <v>2.3</v>
      </c>
      <c r="F118" s="84">
        <f>2000/56*E118*'Cattle Returns'!C$5*'Cattle Returns'!C$4</f>
        <v>29.571428571428573</v>
      </c>
      <c r="G118" s="84">
        <v>60</v>
      </c>
      <c r="H118" s="84">
        <v>300</v>
      </c>
      <c r="I118" s="84">
        <f t="shared" si="1"/>
        <v>23</v>
      </c>
      <c r="J118" s="84">
        <v>290.4</v>
      </c>
      <c r="K118" s="84">
        <v>165.7</v>
      </c>
      <c r="L118" s="84">
        <v>9.31</v>
      </c>
      <c r="N118" s="107">
        <f>AVERAGE($E112:$E118)*'Assumptions and Rations'!G$28+AVERAGE($F112:$F118)*'Assumptions and Rations'!G$31+AVERAGE($G112:$G118)*'Assumptions and Rations'!G$29+AVERAGE($I112:$I118)*'Assumptions and Rations'!G$30+'Prices and Spreads'!J$11</f>
        <v>194.8682792848478</v>
      </c>
      <c r="O118" s="107">
        <f>AVERAGE($E114:$E118)*'Assumptions and Rations'!H$28+AVERAGE($F114:$F118)*'Assumptions and Rations'!H$31+AVERAGE($G114:$G118)*'Assumptions and Rations'!H$29+AVERAGE($I114:$I118)*'Assumptions and Rations'!H$30+'Prices and Spreads'!K$11</f>
        <v>172.34084125389037</v>
      </c>
      <c r="P118" s="107">
        <f>N118*0.5*$L111/100*7/12+'Prices and Spreads'!J$15*'Prices and Spreads'!J$7+'Prices and Spreads'!J$14+'Prices and Spreads'!J$12+'Prices and Spreads'!J$13*'Historic Prices'!B111*'Prices and Spreads'!J$4/100</f>
        <v>145.81159534913192</v>
      </c>
      <c r="Q118" s="107">
        <f>O118*0.5*$L113/100*5/12+'Prices and Spreads'!K$15*'Prices and Spreads'!K$7+'Prices and Spreads'!K$14+'Prices and Spreads'!K$12+'Prices and Spreads'!K$13*'Historic Prices'!D113*'Prices and Spreads'!K$4/100</f>
        <v>119.43923590015356</v>
      </c>
    </row>
    <row r="119" spans="1:17" ht="15">
      <c r="A119" s="93">
        <v>35947</v>
      </c>
      <c r="B119" s="84">
        <v>80.56</v>
      </c>
      <c r="C119" s="84">
        <v>73.51</v>
      </c>
      <c r="D119" s="84">
        <v>63.53</v>
      </c>
      <c r="E119" s="84">
        <v>2.15</v>
      </c>
      <c r="F119" s="84">
        <f>2000/56*E119*'Cattle Returns'!C$5*'Cattle Returns'!C$4</f>
        <v>27.642857142857146</v>
      </c>
      <c r="G119" s="84">
        <v>60</v>
      </c>
      <c r="H119" s="84">
        <v>300</v>
      </c>
      <c r="I119" s="84">
        <f t="shared" si="1"/>
        <v>21.5</v>
      </c>
      <c r="J119" s="84">
        <v>298.5</v>
      </c>
      <c r="K119" s="84">
        <v>169.7</v>
      </c>
      <c r="L119" s="84">
        <v>9.31</v>
      </c>
      <c r="N119" s="107">
        <f>AVERAGE($E113:$E119)*'Assumptions and Rations'!G$28+AVERAGE($F113:$F119)*'Assumptions and Rations'!G$31+AVERAGE($G113:$G119)*'Assumptions and Rations'!G$29+AVERAGE($I113:$I119)*'Assumptions and Rations'!G$30+'Prices and Spreads'!J$11</f>
        <v>191.97984658762437</v>
      </c>
      <c r="O119" s="107">
        <f>AVERAGE($E115:$E119)*'Assumptions and Rations'!H$28+AVERAGE($F115:$F119)*'Assumptions and Rations'!H$31+AVERAGE($G115:$G119)*'Assumptions and Rations'!H$29+AVERAGE($I115:$I119)*'Assumptions and Rations'!H$30+'Prices and Spreads'!K$11</f>
        <v>168.19608382652453</v>
      </c>
      <c r="P119" s="107">
        <f>N119*0.5*$L112/100*7/12+'Prices and Spreads'!J$15*'Prices and Spreads'!J$7+'Prices and Spreads'!J$14+'Prices and Spreads'!J$12+'Prices and Spreads'!J$13*'Historic Prices'!B112*'Prices and Spreads'!J$4/100</f>
        <v>145.70593736626606</v>
      </c>
      <c r="Q119" s="107">
        <f>O119*0.5*$L114/100*5/12+'Prices and Spreads'!K$15*'Prices and Spreads'!K$7+'Prices and Spreads'!K$14+'Prices and Spreads'!K$12+'Prices and Spreads'!K$13*'Historic Prices'!D114*'Prices and Spreads'!K$4/100</f>
        <v>119.28121987588528</v>
      </c>
    </row>
    <row r="120" spans="1:17" ht="15">
      <c r="A120" s="93">
        <v>35977</v>
      </c>
      <c r="B120" s="84">
        <v>75.76</v>
      </c>
      <c r="C120" s="84">
        <v>69.5</v>
      </c>
      <c r="D120" s="84">
        <v>60.1</v>
      </c>
      <c r="E120" s="84">
        <v>2.03</v>
      </c>
      <c r="F120" s="84">
        <f>2000/56*E120*'Cattle Returns'!C$5*'Cattle Returns'!C$4</f>
        <v>26.1</v>
      </c>
      <c r="G120" s="84">
        <v>60</v>
      </c>
      <c r="H120" s="84">
        <v>300</v>
      </c>
      <c r="I120" s="84">
        <f t="shared" si="1"/>
        <v>20.299999999999997</v>
      </c>
      <c r="J120" s="84">
        <v>311.5</v>
      </c>
      <c r="K120" s="84">
        <v>169.7</v>
      </c>
      <c r="L120" s="84">
        <v>9.31</v>
      </c>
      <c r="N120" s="107">
        <f>AVERAGE($E114:$E120)*'Assumptions and Rations'!G$28+AVERAGE($F114:$F120)*'Assumptions and Rations'!G$31+AVERAGE($G114:$G120)*'Assumptions and Rations'!G$29+AVERAGE($I114:$I120)*'Assumptions and Rations'!G$30+'Prices and Spreads'!J$11</f>
        <v>188.19500374298678</v>
      </c>
      <c r="O120" s="107">
        <f>AVERAGE($E116:$E120)*'Assumptions and Rations'!H$28+AVERAGE($F116:$F120)*'Assumptions and Rations'!H$31+AVERAGE($G116:$G120)*'Assumptions and Rations'!H$29+AVERAGE($I116:$I120)*'Assumptions and Rations'!H$30+'Prices and Spreads'!K$11</f>
        <v>163.0465367197973</v>
      </c>
      <c r="P120" s="107">
        <f>N120*0.5*$L113/100*7/12+'Prices and Spreads'!J$15*'Prices and Spreads'!J$7+'Prices and Spreads'!J$14+'Prices and Spreads'!J$12+'Prices and Spreads'!J$13*'Historic Prices'!B113*'Prices and Spreads'!J$4/100</f>
        <v>145.76733811285564</v>
      </c>
      <c r="Q120" s="107">
        <f>O120*0.5*$L115/100*5/12+'Prices and Spreads'!K$15*'Prices and Spreads'!K$7+'Prices and Spreads'!K$14+'Prices and Spreads'!K$12+'Prices and Spreads'!K$13*'Historic Prices'!D115*'Prices and Spreads'!K$4/100</f>
        <v>119.00190261846106</v>
      </c>
    </row>
    <row r="121" spans="1:17" ht="15">
      <c r="A121" s="93">
        <v>36008</v>
      </c>
      <c r="B121" s="84">
        <v>74.25</v>
      </c>
      <c r="C121" s="84">
        <v>67.43</v>
      </c>
      <c r="D121" s="84">
        <v>61.33</v>
      </c>
      <c r="E121" s="84">
        <v>1.79</v>
      </c>
      <c r="F121" s="84">
        <f>2000/56*E121*'Cattle Returns'!C$5*'Cattle Returns'!C$4</f>
        <v>23.01428571428572</v>
      </c>
      <c r="G121" s="84">
        <v>60</v>
      </c>
      <c r="H121" s="84">
        <v>300</v>
      </c>
      <c r="I121" s="84">
        <f t="shared" si="1"/>
        <v>17.9</v>
      </c>
      <c r="J121" s="84">
        <v>291.2</v>
      </c>
      <c r="K121" s="84">
        <v>169.7</v>
      </c>
      <c r="L121" s="84">
        <v>9.31</v>
      </c>
      <c r="N121" s="107">
        <f>AVERAGE($E115:$E121)*'Assumptions and Rations'!G$28+AVERAGE($F115:$F121)*'Assumptions and Rations'!G$31+AVERAGE($G115:$G121)*'Assumptions and Rations'!G$29+AVERAGE($I115:$I121)*'Assumptions and Rations'!G$30+'Prices and Spreads'!J$11</f>
        <v>181.32252594614485</v>
      </c>
      <c r="O121" s="107">
        <f>AVERAGE($E117:$E121)*'Assumptions and Rations'!H$28+AVERAGE($F117:$F121)*'Assumptions and Rations'!H$31+AVERAGE($G117:$G121)*'Assumptions and Rations'!H$29+AVERAGE($I117:$I121)*'Assumptions and Rations'!H$30+'Prices and Spreads'!K$11</f>
        <v>154.50582444522527</v>
      </c>
      <c r="P121" s="107">
        <f>N121*0.5*$L114/100*7/12+'Prices and Spreads'!J$15*'Prices and Spreads'!J$7+'Prices and Spreads'!J$14+'Prices and Spreads'!J$12+'Prices and Spreads'!J$13*'Historic Prices'!B114*'Prices and Spreads'!J$4/100</f>
        <v>145.50069670534722</v>
      </c>
      <c r="Q121" s="107">
        <f>O121*0.5*$L116/100*5/12+'Prices and Spreads'!K$15*'Prices and Spreads'!K$7+'Prices and Spreads'!K$14+'Prices and Spreads'!K$12+'Prices and Spreads'!K$13*'Historic Prices'!D116*'Prices and Spreads'!K$4/100</f>
        <v>118.87112338663552</v>
      </c>
    </row>
    <row r="122" spans="1:17" ht="15">
      <c r="A122" s="93">
        <v>36039</v>
      </c>
      <c r="B122" s="84">
        <v>71.14</v>
      </c>
      <c r="C122" s="84">
        <v>68.28</v>
      </c>
      <c r="D122" s="84">
        <v>57.89</v>
      </c>
      <c r="E122" s="84">
        <v>1.65</v>
      </c>
      <c r="F122" s="84">
        <f>2000/56*E122*'Cattle Returns'!C$5*'Cattle Returns'!C$4</f>
        <v>21.21428571428572</v>
      </c>
      <c r="G122" s="84">
        <v>60</v>
      </c>
      <c r="H122" s="84">
        <v>300</v>
      </c>
      <c r="I122" s="84">
        <f t="shared" si="1"/>
        <v>16.5</v>
      </c>
      <c r="J122" s="84">
        <v>273.5</v>
      </c>
      <c r="K122" s="84">
        <v>169.7</v>
      </c>
      <c r="L122" s="84">
        <v>9.31</v>
      </c>
      <c r="N122" s="107">
        <f>AVERAGE($E116:$E122)*'Assumptions and Rations'!G$28+AVERAGE($F116:$F122)*'Assumptions and Rations'!G$31+AVERAGE($G116:$G122)*'Assumptions and Rations'!G$29+AVERAGE($I116:$I122)*'Assumptions and Rations'!G$30+'Prices and Spreads'!J$11</f>
        <v>173.4540368743983</v>
      </c>
      <c r="O122" s="107">
        <f>AVERAGE($E118:$E122)*'Assumptions and Rations'!H$28+AVERAGE($F118:$F122)*'Assumptions and Rations'!H$31+AVERAGE($G118:$G122)*'Assumptions and Rations'!H$29+AVERAGE($I118:$I122)*'Assumptions and Rations'!H$30+'Prices and Spreads'!K$11</f>
        <v>146.21630959049364</v>
      </c>
      <c r="P122" s="107">
        <f>N122*0.5*$L115/100*7/12+'Prices and Spreads'!J$15*'Prices and Spreads'!J$7+'Prices and Spreads'!J$14+'Prices and Spreads'!J$12+'Prices and Spreads'!J$13*'Historic Prices'!B115*'Prices and Spreads'!J$4/100</f>
        <v>145.38025944167816</v>
      </c>
      <c r="Q122" s="107">
        <f>O122*0.5*$L117/100*5/12+'Prices and Spreads'!K$15*'Prices and Spreads'!K$7+'Prices and Spreads'!K$14+'Prices and Spreads'!K$12+'Prices and Spreads'!K$13*'Historic Prices'!D117*'Prices and Spreads'!K$4/100</f>
        <v>118.85434133809893</v>
      </c>
    </row>
    <row r="123" spans="1:17" ht="15">
      <c r="A123" s="93">
        <v>36069</v>
      </c>
      <c r="B123" s="84">
        <v>73.89</v>
      </c>
      <c r="C123" s="84">
        <v>71.12</v>
      </c>
      <c r="D123" s="84">
        <v>60.02</v>
      </c>
      <c r="E123" s="84">
        <v>1.86</v>
      </c>
      <c r="F123" s="84">
        <f>2000/56*E123*'Cattle Returns'!C$5*'Cattle Returns'!C$4</f>
        <v>23.914285714285718</v>
      </c>
      <c r="G123" s="84">
        <v>60</v>
      </c>
      <c r="H123" s="84">
        <v>300</v>
      </c>
      <c r="I123" s="84">
        <f t="shared" si="1"/>
        <v>18.6</v>
      </c>
      <c r="J123" s="84">
        <v>273.6</v>
      </c>
      <c r="K123" s="84">
        <v>160.6</v>
      </c>
      <c r="L123" s="84">
        <v>9.31</v>
      </c>
      <c r="N123" s="107">
        <f>AVERAGE($E117:$E123)*'Assumptions and Rations'!G$28+AVERAGE($F117:$F123)*'Assumptions and Rations'!G$31+AVERAGE($G117:$G123)*'Assumptions and Rations'!G$29+AVERAGE($I117:$I123)*'Assumptions and Rations'!G$30+'Prices and Spreads'!J$11</f>
        <v>167.37836809748003</v>
      </c>
      <c r="O123" s="107">
        <f>AVERAGE($E119:$E123)*'Assumptions and Rations'!H$28+AVERAGE($F119:$F123)*'Assumptions and Rations'!H$31+AVERAGE($G119:$G123)*'Assumptions and Rations'!H$29+AVERAGE($I119:$I123)*'Assumptions and Rations'!H$30+'Prices and Spreads'!K$11</f>
        <v>140.68996635400586</v>
      </c>
      <c r="P123" s="107">
        <f>N123*0.5*$L116/100*7/12+'Prices and Spreads'!J$15*'Prices and Spreads'!J$7+'Prices and Spreads'!J$14+'Prices and Spreads'!J$12+'Prices and Spreads'!J$13*'Historic Prices'!B116*'Prices and Spreads'!J$4/100</f>
        <v>145.43555471909826</v>
      </c>
      <c r="Q123" s="107">
        <f>O123*0.5*$L118/100*5/12+'Prices and Spreads'!K$15*'Prices and Spreads'!K$7+'Prices and Spreads'!K$14+'Prices and Spreads'!K$12+'Prices and Spreads'!K$13*'Historic Prices'!D118*'Prices and Spreads'!K$4/100</f>
        <v>118.79777830574122</v>
      </c>
    </row>
    <row r="124" spans="1:17" ht="15">
      <c r="A124" s="93">
        <v>36100</v>
      </c>
      <c r="B124" s="84">
        <v>77.76</v>
      </c>
      <c r="C124" s="84">
        <v>67.54</v>
      </c>
      <c r="D124" s="84">
        <v>60.88</v>
      </c>
      <c r="E124" s="84">
        <v>1.89</v>
      </c>
      <c r="F124" s="84">
        <f>2000/56*E124*'Cattle Returns'!C$5*'Cattle Returns'!C$4</f>
        <v>24.3</v>
      </c>
      <c r="G124" s="84">
        <v>60</v>
      </c>
      <c r="H124" s="84">
        <v>300</v>
      </c>
      <c r="I124" s="84">
        <f t="shared" si="1"/>
        <v>18.9</v>
      </c>
      <c r="J124" s="84">
        <v>283.5</v>
      </c>
      <c r="K124" s="84">
        <v>160.6</v>
      </c>
      <c r="L124" s="84">
        <v>9.31</v>
      </c>
      <c r="N124" s="107">
        <f>AVERAGE($E118:$E124)*'Assumptions and Rations'!G$28+AVERAGE($F118:$F124)*'Assumptions and Rations'!G$31+AVERAGE($G118:$G124)*'Assumptions and Rations'!G$29+AVERAGE($I118:$I124)*'Assumptions and Rations'!G$30+'Prices and Spreads'!J$11</f>
        <v>163.19512074288065</v>
      </c>
      <c r="O124" s="107">
        <f>AVERAGE($E120:$E124)*'Assumptions and Rations'!H$28+AVERAGE($F120:$F124)*'Assumptions and Rations'!H$31+AVERAGE($G120:$G124)*'Assumptions and Rations'!H$29+AVERAGE($I120:$I124)*'Assumptions and Rations'!H$30+'Prices and Spreads'!K$11</f>
        <v>137.4243998960813</v>
      </c>
      <c r="P124" s="107">
        <f>N124*0.5*$L117/100*7/12+'Prices and Spreads'!J$15*'Prices and Spreads'!J$7+'Prices and Spreads'!J$14+'Prices and Spreads'!J$12+'Prices and Spreads'!J$13*'Historic Prices'!B117*'Prices and Spreads'!J$4/100</f>
        <v>145.51006212322358</v>
      </c>
      <c r="Q124" s="107">
        <f>O124*0.5*$L119/100*5/12+'Prices and Spreads'!K$15*'Prices and Spreads'!K$7+'Prices and Spreads'!K$14+'Prices and Spreads'!K$12+'Prices and Spreads'!K$13*'Historic Prices'!D119*'Prices and Spreads'!K$4/100</f>
        <v>118.6556899229844</v>
      </c>
    </row>
    <row r="125" spans="1:17" ht="15">
      <c r="A125" s="93">
        <v>36130</v>
      </c>
      <c r="B125" s="84">
        <v>79.12</v>
      </c>
      <c r="C125" s="84">
        <v>70.28</v>
      </c>
      <c r="D125" s="84">
        <v>58.53</v>
      </c>
      <c r="E125" s="84">
        <v>1.91</v>
      </c>
      <c r="F125" s="84">
        <f>2000/56*E125*'Cattle Returns'!C$5*'Cattle Returns'!C$4</f>
        <v>24.557142857142857</v>
      </c>
      <c r="G125" s="84">
        <v>60</v>
      </c>
      <c r="H125" s="84">
        <v>300</v>
      </c>
      <c r="I125" s="84">
        <f t="shared" si="1"/>
        <v>19.099999999999998</v>
      </c>
      <c r="J125" s="84">
        <v>284</v>
      </c>
      <c r="K125" s="84">
        <v>160.6</v>
      </c>
      <c r="L125" s="84">
        <v>9.31</v>
      </c>
      <c r="N125" s="107">
        <f>AVERAGE($E119:$E125)*'Assumptions and Rations'!G$28+AVERAGE($F119:$F125)*'Assumptions and Rations'!G$31+AVERAGE($G119:$G125)*'Assumptions and Rations'!G$29+AVERAGE($I119:$I125)*'Assumptions and Rations'!G$30+'Prices and Spreads'!J$11</f>
        <v>159.3106767707526</v>
      </c>
      <c r="O125" s="107">
        <f>AVERAGE($E121:$E125)*'Assumptions and Rations'!H$28+AVERAGE($F121:$F125)*'Assumptions and Rations'!H$31+AVERAGE($G121:$G125)*'Assumptions and Rations'!H$29+AVERAGE($I121:$I125)*'Assumptions and Rations'!H$30+'Prices and Spreads'!K$11</f>
        <v>135.91721537703918</v>
      </c>
      <c r="P125" s="107">
        <f>N125*0.5*$L118/100*7/12+'Prices and Spreads'!J$15*'Prices and Spreads'!J$7+'Prices and Spreads'!J$14+'Prices and Spreads'!J$12+'Prices and Spreads'!J$13*'Historic Prices'!B118*'Prices and Spreads'!J$4/100</f>
        <v>145.2016332841971</v>
      </c>
      <c r="Q125" s="107">
        <f>O125*0.5*$L120/100*5/12+'Prices and Spreads'!K$15*'Prices and Spreads'!K$7+'Prices and Spreads'!K$14+'Prices and Spreads'!K$12+'Prices and Spreads'!K$13*'Historic Prices'!D120*'Prices and Spreads'!K$4/100</f>
        <v>118.43351932325048</v>
      </c>
    </row>
    <row r="126" spans="1:17" ht="15">
      <c r="A126" s="93">
        <v>36161</v>
      </c>
      <c r="B126" s="84">
        <v>82.41</v>
      </c>
      <c r="C126" s="84">
        <v>72.36</v>
      </c>
      <c r="D126" s="84">
        <v>60.73</v>
      </c>
      <c r="E126" s="84">
        <v>1.91</v>
      </c>
      <c r="F126" s="84">
        <f>2000/56*E126*'Cattle Returns'!C$5*'Cattle Returns'!C$4</f>
        <v>24.557142857142857</v>
      </c>
      <c r="G126" s="84">
        <v>60</v>
      </c>
      <c r="H126" s="84">
        <v>300</v>
      </c>
      <c r="I126" s="84">
        <f t="shared" si="1"/>
        <v>19.099999999999998</v>
      </c>
      <c r="J126" s="84">
        <v>282.8</v>
      </c>
      <c r="K126" s="84">
        <v>160.6</v>
      </c>
      <c r="L126" s="84">
        <v>9.31</v>
      </c>
      <c r="N126" s="107">
        <f>AVERAGE($E120:$E126)*'Assumptions and Rations'!G$28+AVERAGE($F120:$F126)*'Assumptions and Rations'!G$31+AVERAGE($G120:$G126)*'Assumptions and Rations'!G$29+AVERAGE($I120:$I126)*'Assumptions and Rations'!G$30+'Prices and Spreads'!J$11</f>
        <v>156.9202497109815</v>
      </c>
      <c r="O126" s="107">
        <f>AVERAGE($E122:$E126)*'Assumptions and Rations'!H$28+AVERAGE($F122:$F126)*'Assumptions and Rations'!H$31+AVERAGE($G122:$G126)*'Assumptions and Rations'!H$29+AVERAGE($I122:$I126)*'Assumptions and Rations'!H$30+'Prices and Spreads'!K$11</f>
        <v>137.4243998960813</v>
      </c>
      <c r="P126" s="107">
        <f>N126*0.5*$L119/100*7/12+'Prices and Spreads'!J$15*'Prices and Spreads'!J$7+'Prices and Spreads'!J$14+'Prices and Spreads'!J$12+'Prices and Spreads'!J$13*'Historic Prices'!B119*'Prices and Spreads'!J$4/100</f>
        <v>144.22262322941154</v>
      </c>
      <c r="Q126" s="107">
        <f>O126*0.5*$L121/100*5/12+'Prices and Spreads'!K$15*'Prices and Spreads'!K$7+'Prices and Spreads'!K$14+'Prices and Spreads'!K$12+'Prices and Spreads'!K$13*'Historic Prices'!D121*'Prices and Spreads'!K$4/100</f>
        <v>118.53193992298439</v>
      </c>
    </row>
    <row r="127" spans="1:17" ht="15">
      <c r="A127" s="93">
        <v>36192</v>
      </c>
      <c r="B127" s="84">
        <v>84.67</v>
      </c>
      <c r="C127" s="84">
        <v>73.69</v>
      </c>
      <c r="D127" s="84">
        <v>61.21</v>
      </c>
      <c r="E127" s="84">
        <v>1.91</v>
      </c>
      <c r="F127" s="84">
        <f>2000/56*E127*'Cattle Returns'!C$5*'Cattle Returns'!C$4</f>
        <v>24.557142857142857</v>
      </c>
      <c r="G127" s="84">
        <v>60</v>
      </c>
      <c r="H127" s="84">
        <v>300</v>
      </c>
      <c r="I127" s="84">
        <f t="shared" si="1"/>
        <v>19.099999999999998</v>
      </c>
      <c r="J127" s="84">
        <v>275.5</v>
      </c>
      <c r="K127" s="84">
        <v>160.6</v>
      </c>
      <c r="L127" s="84">
        <v>8.75</v>
      </c>
      <c r="N127" s="107">
        <f>AVERAGE($E121:$E127)*'Assumptions and Rations'!G$28+AVERAGE($F121:$F127)*'Assumptions and Rations'!G$31+AVERAGE($G121:$G127)*'Assumptions and Rations'!G$29+AVERAGE($I121:$I127)*'Assumptions and Rations'!G$30+'Prices and Spreads'!J$11</f>
        <v>155.72503618109593</v>
      </c>
      <c r="O127" s="107">
        <f>AVERAGE($E123:$E127)*'Assumptions and Rations'!H$28+AVERAGE($F123:$F127)*'Assumptions and Rations'!H$31+AVERAGE($G123:$G127)*'Assumptions and Rations'!H$29+AVERAGE($I123:$I127)*'Assumptions and Rations'!H$30+'Prices and Spreads'!K$11</f>
        <v>140.68996635400586</v>
      </c>
      <c r="P127" s="107">
        <f>N127*0.5*$L120/100*7/12+'Prices and Spreads'!J$15*'Prices and Spreads'!J$7+'Prices and Spreads'!J$14+'Prices and Spreads'!J$12+'Prices and Spreads'!J$13*'Historic Prices'!B120*'Prices and Spreads'!J$4/100</f>
        <v>143.7941682020188</v>
      </c>
      <c r="Q127" s="107">
        <f>O127*0.5*$L122/100*5/12+'Prices and Spreads'!K$15*'Prices and Spreads'!K$7+'Prices and Spreads'!K$14+'Prices and Spreads'!K$12+'Prices and Spreads'!K$13*'Historic Prices'!D122*'Prices and Spreads'!K$4/100</f>
        <v>118.40177830574122</v>
      </c>
    </row>
    <row r="128" spans="1:17" ht="15">
      <c r="A128" s="93">
        <v>36220</v>
      </c>
      <c r="B128" s="84">
        <v>88.03</v>
      </c>
      <c r="C128" s="84">
        <v>72.26</v>
      </c>
      <c r="D128" s="84">
        <v>63.78</v>
      </c>
      <c r="E128" s="84">
        <v>2.04</v>
      </c>
      <c r="F128" s="84">
        <f>2000/56*E128*'Cattle Returns'!C$5*'Cattle Returns'!C$4</f>
        <v>26.228571428571435</v>
      </c>
      <c r="G128" s="84">
        <v>60</v>
      </c>
      <c r="H128" s="84">
        <v>300</v>
      </c>
      <c r="I128" s="84">
        <f t="shared" si="1"/>
        <v>20.4</v>
      </c>
      <c r="J128" s="84">
        <v>272.5</v>
      </c>
      <c r="K128" s="84">
        <v>160.6</v>
      </c>
      <c r="L128" s="84">
        <v>8.75</v>
      </c>
      <c r="N128" s="107">
        <f>AVERAGE($E122:$E128)*'Assumptions and Rations'!G$28+AVERAGE($F122:$F128)*'Assumptions and Rations'!G$31+AVERAGE($G122:$G128)*'Assumptions and Rations'!G$29+AVERAGE($I122:$I128)*'Assumptions and Rations'!G$30+'Prices and Spreads'!J$11</f>
        <v>158.21506436835747</v>
      </c>
      <c r="O128" s="107">
        <f>AVERAGE($E124:$E128)*'Assumptions and Rations'!H$28+AVERAGE($F124:$F128)*'Assumptions and Rations'!H$31+AVERAGE($G124:$G128)*'Assumptions and Rations'!H$29+AVERAGE($I124:$I128)*'Assumptions and Rations'!H$30+'Prices and Spreads'!K$11</f>
        <v>142.95074313256904</v>
      </c>
      <c r="P128" s="107">
        <f>N128*0.5*$L121/100*7/12+'Prices and Spreads'!J$15*'Prices and Spreads'!J$7+'Prices and Spreads'!J$14+'Prices and Spreads'!J$12+'Prices and Spreads'!J$13*'Historic Prices'!B121*'Prices and Spreads'!J$4/100</f>
        <v>143.7372078424204</v>
      </c>
      <c r="Q128" s="107">
        <f>O128*0.5*$L123/100*5/12+'Prices and Spreads'!K$15*'Prices and Spreads'!K$7+'Prices and Spreads'!K$14+'Prices and Spreads'!K$12+'Prices and Spreads'!K$13*'Historic Prices'!D123*'Prices and Spreads'!K$4/100</f>
        <v>118.56544045534211</v>
      </c>
    </row>
    <row r="129" spans="1:17" ht="15">
      <c r="A129" s="93">
        <v>36251</v>
      </c>
      <c r="B129" s="84">
        <v>89.49</v>
      </c>
      <c r="C129" s="84">
        <v>71.78</v>
      </c>
      <c r="D129" s="84">
        <v>64.52</v>
      </c>
      <c r="E129" s="84">
        <v>1.97</v>
      </c>
      <c r="F129" s="84">
        <f>2000/56*E129*'Cattle Returns'!C$5*'Cattle Returns'!C$4</f>
        <v>25.328571428571433</v>
      </c>
      <c r="G129" s="84">
        <v>60</v>
      </c>
      <c r="H129" s="84">
        <v>300</v>
      </c>
      <c r="I129" s="84">
        <f t="shared" si="1"/>
        <v>19.7</v>
      </c>
      <c r="J129" s="84">
        <v>275.5</v>
      </c>
      <c r="K129" s="84">
        <v>160.6</v>
      </c>
      <c r="L129" s="84">
        <v>8.75</v>
      </c>
      <c r="N129" s="107">
        <f>AVERAGE($E123:$E129)*'Assumptions and Rations'!G$28+AVERAGE($F123:$F129)*'Assumptions and Rations'!G$31+AVERAGE($G123:$G129)*'Assumptions and Rations'!G$29+AVERAGE($I123:$I129)*'Assumptions and Rations'!G$30+'Prices and Spreads'!J$11</f>
        <v>161.4023004480523</v>
      </c>
      <c r="O129" s="107">
        <f>AVERAGE($E125:$E129)*'Assumptions and Rations'!H$28+AVERAGE($F125:$F129)*'Assumptions and Rations'!H$31+AVERAGE($G125:$G129)*'Assumptions and Rations'!H$29+AVERAGE($I125:$I129)*'Assumptions and Rations'!H$30+'Prices and Spreads'!K$11</f>
        <v>143.95553281193048</v>
      </c>
      <c r="P129" s="107">
        <f>N129*0.5*$L122/100*7/12+'Prices and Spreads'!J$15*'Prices and Spreads'!J$7+'Prices and Spreads'!J$14+'Prices and Spreads'!J$12+'Prices and Spreads'!J$13*'Historic Prices'!B122*'Prices and Spreads'!J$4/100</f>
        <v>143.56717958213443</v>
      </c>
      <c r="Q129" s="107">
        <f>O129*0.5*$L124/100*5/12+'Prices and Spreads'!K$15*'Prices and Spreads'!K$7+'Prices and Spreads'!K$14+'Prices and Spreads'!K$12+'Prices and Spreads'!K$13*'Historic Prices'!D124*'Prices and Spreads'!K$4/100</f>
        <v>118.63330418849806</v>
      </c>
    </row>
    <row r="130" spans="1:17" ht="15">
      <c r="A130" s="93">
        <v>36281</v>
      </c>
      <c r="B130" s="84">
        <v>85.84</v>
      </c>
      <c r="C130" s="84">
        <v>71.36</v>
      </c>
      <c r="D130" s="84">
        <v>63.59</v>
      </c>
      <c r="E130" s="84">
        <v>1.93</v>
      </c>
      <c r="F130" s="84">
        <f>2000/56*E130*'Cattle Returns'!C$5*'Cattle Returns'!C$4</f>
        <v>24.814285714285717</v>
      </c>
      <c r="G130" s="84">
        <v>60</v>
      </c>
      <c r="H130" s="84">
        <v>300</v>
      </c>
      <c r="I130" s="84">
        <f t="shared" si="1"/>
        <v>19.3</v>
      </c>
      <c r="J130" s="84">
        <v>275.2</v>
      </c>
      <c r="K130" s="84">
        <v>160.6</v>
      </c>
      <c r="L130" s="84">
        <v>8.75</v>
      </c>
      <c r="N130" s="107">
        <f>AVERAGE($E124:$E130)*'Assumptions and Rations'!G$28+AVERAGE($F124:$F130)*'Assumptions and Rations'!G$31+AVERAGE($G124:$G130)*'Assumptions and Rations'!G$29+AVERAGE($I124:$I130)*'Assumptions and Rations'!G$30+'Prices and Spreads'!J$11</f>
        <v>162.09950834048556</v>
      </c>
      <c r="O130" s="107">
        <f>AVERAGE($E126:$E130)*'Assumptions and Rations'!H$28+AVERAGE($F126:$F130)*'Assumptions and Rations'!H$31+AVERAGE($G126:$G130)*'Assumptions and Rations'!H$29+AVERAGE($I126:$I130)*'Assumptions and Rations'!H$30+'Prices and Spreads'!K$11</f>
        <v>144.20673023177085</v>
      </c>
      <c r="P130" s="107">
        <f>N130*0.5*$L123/100*7/12+'Prices and Spreads'!J$15*'Prices and Spreads'!J$7+'Prices and Spreads'!J$14+'Prices and Spreads'!J$12+'Prices and Spreads'!J$13*'Historic Prices'!B123*'Prices and Spreads'!J$4/100</f>
        <v>143.81298668144686</v>
      </c>
      <c r="Q130" s="107">
        <f>O130*0.5*$L125/100*5/12+'Prices and Spreads'!K$15*'Prices and Spreads'!K$7+'Prices and Spreads'!K$14+'Prices and Spreads'!K$12+'Prices and Spreads'!K$13*'Historic Prices'!D125*'Prices and Spreads'!K$4/100</f>
        <v>118.50598887178704</v>
      </c>
    </row>
    <row r="131" spans="1:17" ht="15">
      <c r="A131" s="93">
        <v>36312</v>
      </c>
      <c r="B131" s="84">
        <v>86.91</v>
      </c>
      <c r="C131" s="84">
        <v>77.08</v>
      </c>
      <c r="D131" s="84">
        <v>64.62</v>
      </c>
      <c r="E131" s="84">
        <v>1.86</v>
      </c>
      <c r="F131" s="84">
        <f>2000/56*E131*'Cattle Returns'!C$5*'Cattle Returns'!C$4</f>
        <v>23.914285714285718</v>
      </c>
      <c r="G131" s="84">
        <v>60</v>
      </c>
      <c r="H131" s="84">
        <v>300</v>
      </c>
      <c r="I131" s="84">
        <f t="shared" si="1"/>
        <v>18.6</v>
      </c>
      <c r="J131" s="84">
        <v>276.5</v>
      </c>
      <c r="K131" s="84">
        <v>160.6</v>
      </c>
      <c r="L131" s="84">
        <v>8.75</v>
      </c>
      <c r="N131" s="107">
        <f>AVERAGE($E125:$E131)*'Assumptions and Rations'!G$28+AVERAGE($F125:$F131)*'Assumptions and Rations'!G$31+AVERAGE($G125:$G131)*'Assumptions and Rations'!G$29+AVERAGE($I125:$I131)*'Assumptions and Rations'!G$30+'Prices and Spreads'!J$11</f>
        <v>161.80070495801417</v>
      </c>
      <c r="O131" s="107">
        <f>AVERAGE($E127:$E131)*'Assumptions and Rations'!H$28+AVERAGE($F127:$F131)*'Assumptions and Rations'!H$31+AVERAGE($G127:$G131)*'Assumptions and Rations'!H$29+AVERAGE($I127:$I131)*'Assumptions and Rations'!H$30+'Prices and Spreads'!K$11</f>
        <v>143.57873668216993</v>
      </c>
      <c r="P131" s="107">
        <f>N131*0.5*$L124/100*7/12+'Prices and Spreads'!J$15*'Prices and Spreads'!J$7+'Prices and Spreads'!J$14+'Prices and Spreads'!J$12+'Prices and Spreads'!J$13*'Historic Prices'!B124*'Prices and Spreads'!J$4/100</f>
        <v>144.12414792459867</v>
      </c>
      <c r="Q131" s="107">
        <f>O131*0.5*$L126/100*5/12+'Prices and Spreads'!K$15*'Prices and Spreads'!K$7+'Prices and Spreads'!K$14+'Prices and Spreads'!K$12+'Prices and Spreads'!K$13*'Historic Prices'!D126*'Prices and Spreads'!K$4/100</f>
        <v>118.61755841356457</v>
      </c>
    </row>
    <row r="132" spans="1:17" ht="15">
      <c r="A132" s="93">
        <v>36342</v>
      </c>
      <c r="B132" s="84">
        <v>88.11</v>
      </c>
      <c r="C132" s="84">
        <v>77.59</v>
      </c>
      <c r="D132" s="84">
        <v>63.39</v>
      </c>
      <c r="E132" s="84">
        <v>1.55</v>
      </c>
      <c r="F132" s="84">
        <f>2000/56*E132*'Cattle Returns'!C$5*'Cattle Returns'!C$4</f>
        <v>19.92857142857143</v>
      </c>
      <c r="G132" s="84">
        <v>60</v>
      </c>
      <c r="H132" s="84">
        <v>300</v>
      </c>
      <c r="I132" s="84">
        <f t="shared" si="1"/>
        <v>15.5</v>
      </c>
      <c r="J132" s="84">
        <v>275.5</v>
      </c>
      <c r="K132" s="84">
        <v>160.6</v>
      </c>
      <c r="L132" s="84">
        <v>8.75</v>
      </c>
      <c r="N132" s="107">
        <f>AVERAGE($E126:$E132)*'Assumptions and Rations'!G$28+AVERAGE($F126:$F132)*'Assumptions and Rations'!G$31+AVERAGE($G126:$G132)*'Assumptions and Rations'!G$29+AVERAGE($I126:$I132)*'Assumptions and Rations'!G$30+'Prices and Spreads'!J$11</f>
        <v>158.2150643683575</v>
      </c>
      <c r="O132" s="107">
        <f>AVERAGE($E128:$E132)*'Assumptions and Rations'!H$28+AVERAGE($F128:$F132)*'Assumptions and Rations'!H$31+AVERAGE($G128:$G132)*'Assumptions and Rations'!H$29+AVERAGE($I128:$I132)*'Assumptions and Rations'!H$30+'Prices and Spreads'!K$11</f>
        <v>139.0571831250436</v>
      </c>
      <c r="P132" s="107">
        <f>N132*0.5*$L125/100*7/12+'Prices and Spreads'!J$15*'Prices and Spreads'!J$7+'Prices and Spreads'!J$14+'Prices and Spreads'!J$12+'Prices and Spreads'!J$13*'Historic Prices'!B125*'Prices and Spreads'!J$4/100</f>
        <v>144.13898284242038</v>
      </c>
      <c r="Q132" s="107">
        <f>O132*0.5*$L127/100*5/12+'Prices and Spreads'!K$15*'Prices and Spreads'!K$7+'Prices and Spreads'!K$14+'Prices and Spreads'!K$12+'Prices and Spreads'!K$13*'Historic Prices'!D127*'Prices and Spreads'!K$4/100</f>
        <v>118.39462573405027</v>
      </c>
    </row>
    <row r="133" spans="1:17" ht="15">
      <c r="A133" s="93">
        <v>36373</v>
      </c>
      <c r="B133" s="84">
        <v>85.88</v>
      </c>
      <c r="C133" s="84">
        <v>77.68</v>
      </c>
      <c r="D133" s="84">
        <v>64.47</v>
      </c>
      <c r="E133" s="84">
        <v>1.65</v>
      </c>
      <c r="F133" s="84">
        <f>2000/56*E133*'Cattle Returns'!C$5*'Cattle Returns'!C$4</f>
        <v>21.21428571428572</v>
      </c>
      <c r="G133" s="84">
        <v>60</v>
      </c>
      <c r="H133" s="84">
        <v>300</v>
      </c>
      <c r="I133" s="84">
        <f t="shared" si="1"/>
        <v>16.5</v>
      </c>
      <c r="J133" s="84">
        <v>272</v>
      </c>
      <c r="K133" s="84">
        <v>160.6</v>
      </c>
      <c r="L133" s="84">
        <v>8.75</v>
      </c>
      <c r="N133" s="107">
        <f>AVERAGE($E127:$E133)*'Assumptions and Rations'!G$28+AVERAGE($F127:$F133)*'Assumptions and Rations'!G$31+AVERAGE($G127:$G133)*'Assumptions and Rations'!G$29+AVERAGE($I127:$I133)*'Assumptions and Rations'!G$30+'Prices and Spreads'!J$11</f>
        <v>155.62543505360546</v>
      </c>
      <c r="O133" s="107">
        <f>AVERAGE($E129:$E133)*'Assumptions and Rations'!H$28+AVERAGE($F129:$F133)*'Assumptions and Rations'!H$31+AVERAGE($G129:$G133)*'Assumptions and Rations'!H$29+AVERAGE($I129:$I133)*'Assumptions and Rations'!H$30+'Prices and Spreads'!K$11</f>
        <v>134.1588334381567</v>
      </c>
      <c r="P133" s="107">
        <f>N133*0.5*$L126/100*7/12+'Prices and Spreads'!J$15*'Prices and Spreads'!J$7+'Prices and Spreads'!J$14+'Prices and Spreads'!J$12+'Prices and Spreads'!J$13*'Historic Prices'!B126*'Prices and Spreads'!J$4/100</f>
        <v>144.3400886164027</v>
      </c>
      <c r="Q133" s="107">
        <f>O133*0.5*$L128/100*5/12+'Prices and Spreads'!K$15*'Prices and Spreads'!K$7+'Prices and Spreads'!K$14+'Prices and Spreads'!K$12+'Prices and Spreads'!K$13*'Historic Prices'!D128*'Prices and Spreads'!K$4/100</f>
        <v>118.4498954012164</v>
      </c>
    </row>
    <row r="134" spans="1:17" ht="15">
      <c r="A134" s="93">
        <v>36404</v>
      </c>
      <c r="B134" s="84">
        <v>86.83</v>
      </c>
      <c r="C134" s="84">
        <v>80.02</v>
      </c>
      <c r="D134" s="84">
        <v>65.04</v>
      </c>
      <c r="E134" s="84">
        <v>1.65</v>
      </c>
      <c r="F134" s="84">
        <f>2000/56*E134*'Cattle Returns'!C$5*'Cattle Returns'!C$4</f>
        <v>21.21428571428572</v>
      </c>
      <c r="G134" s="84">
        <v>60</v>
      </c>
      <c r="H134" s="84">
        <v>300</v>
      </c>
      <c r="I134" s="84">
        <f t="shared" si="1"/>
        <v>16.5</v>
      </c>
      <c r="J134" s="84">
        <v>275</v>
      </c>
      <c r="K134" s="84">
        <v>160.6</v>
      </c>
      <c r="L134" s="84">
        <v>8.75</v>
      </c>
      <c r="N134" s="107">
        <f>AVERAGE($E128:$E134)*'Assumptions and Rations'!G$28+AVERAGE($F128:$F134)*'Assumptions and Rations'!G$31+AVERAGE($G128:$G134)*'Assumptions and Rations'!G$29+AVERAGE($I128:$I134)*'Assumptions and Rations'!G$30+'Prices and Spreads'!J$11</f>
        <v>153.03580573885344</v>
      </c>
      <c r="O134" s="107">
        <f>AVERAGE($E130:$E134)*'Assumptions and Rations'!H$28+AVERAGE($F130:$F134)*'Assumptions and Rations'!H$31+AVERAGE($G130:$G134)*'Assumptions and Rations'!H$29+AVERAGE($I130:$I134)*'Assumptions and Rations'!H$30+'Prices and Spreads'!K$11</f>
        <v>130.13967472071107</v>
      </c>
      <c r="P134" s="107">
        <f>N134*0.5*$L127/100*7/12+'Prices and Spreads'!J$15*'Prices and Spreads'!J$7+'Prices and Spreads'!J$14+'Prices and Spreads'!J$12+'Prices and Spreads'!J$13*'Historic Prices'!B127*'Prices and Spreads'!J$4/100</f>
        <v>144.20626090767826</v>
      </c>
      <c r="Q134" s="107">
        <f>O134*0.5*$L129/100*5/12+'Prices and Spreads'!K$15*'Prices and Spreads'!K$7+'Prices and Spreads'!K$14+'Prices and Spreads'!K$12+'Prices and Spreads'!K$13*'Historic Prices'!D129*'Prices and Spreads'!K$4/100</f>
        <v>118.41825448709629</v>
      </c>
    </row>
    <row r="135" spans="1:17" ht="15">
      <c r="A135" s="93">
        <v>36434</v>
      </c>
      <c r="B135" s="84">
        <v>84.43</v>
      </c>
      <c r="C135" s="84">
        <v>80.88</v>
      </c>
      <c r="D135" s="84">
        <v>68.01</v>
      </c>
      <c r="E135" s="84">
        <v>1.5</v>
      </c>
      <c r="F135" s="84">
        <f>2000/56*E135*'Cattle Returns'!C$5*'Cattle Returns'!C$4</f>
        <v>19.28571428571429</v>
      </c>
      <c r="G135" s="84">
        <v>60</v>
      </c>
      <c r="H135" s="84">
        <v>300</v>
      </c>
      <c r="I135" s="84">
        <f aca="true" t="shared" si="2" ref="I135:I198">10*E135</f>
        <v>15</v>
      </c>
      <c r="J135" s="84">
        <v>282</v>
      </c>
      <c r="K135" s="84">
        <v>160.6</v>
      </c>
      <c r="L135" s="84">
        <v>8.75</v>
      </c>
      <c r="N135" s="107">
        <f>AVERAGE($E129:$E135)*'Assumptions and Rations'!G$28+AVERAGE($F129:$F135)*'Assumptions and Rations'!G$31+AVERAGE($G129:$G135)*'Assumptions and Rations'!G$29+AVERAGE($I129:$I135)*'Assumptions and Rations'!G$30+'Prices and Spreads'!J$11</f>
        <v>147.65734485436846</v>
      </c>
      <c r="O135" s="107">
        <f>AVERAGE($E131:$E135)*'Assumptions and Rations'!H$28+AVERAGE($F131:$F135)*'Assumptions and Rations'!H$31+AVERAGE($G131:$G135)*'Assumptions and Rations'!H$29+AVERAGE($I131:$I135)*'Assumptions and Rations'!H$30+'Prices and Spreads'!K$11</f>
        <v>124.73893019414348</v>
      </c>
      <c r="P135" s="107">
        <f>N135*0.5*$L128/100*7/12+'Prices and Spreads'!J$15*'Prices and Spreads'!J$7+'Prices and Spreads'!J$14+'Prices and Spreads'!J$12+'Prices and Spreads'!J$13*'Historic Prices'!B128*'Prices and Spreads'!J$4/100</f>
        <v>144.34619810385547</v>
      </c>
      <c r="Q135" s="107">
        <f>O135*0.5*$L130/100*5/12+'Prices and Spreads'!K$15*'Prices and Spreads'!K$7+'Prices and Spreads'!K$14+'Prices and Spreads'!K$12+'Prices and Spreads'!K$13*'Historic Prices'!D130*'Prices and Spreads'!K$4/100</f>
        <v>118.2674909149974</v>
      </c>
    </row>
    <row r="136" spans="1:17" ht="15">
      <c r="A136" s="93">
        <v>36465</v>
      </c>
      <c r="B136" s="84">
        <v>91.51</v>
      </c>
      <c r="C136" s="84">
        <v>84.22</v>
      </c>
      <c r="D136" s="84">
        <v>69.27</v>
      </c>
      <c r="E136" s="84">
        <v>1.65</v>
      </c>
      <c r="F136" s="84">
        <f>2000/56*E136*'Cattle Returns'!C$5*'Cattle Returns'!C$4</f>
        <v>21.21428571428572</v>
      </c>
      <c r="G136" s="84">
        <v>60</v>
      </c>
      <c r="H136" s="84">
        <v>300</v>
      </c>
      <c r="I136" s="84">
        <f t="shared" si="2"/>
        <v>16.5</v>
      </c>
      <c r="J136" s="84">
        <v>288.4</v>
      </c>
      <c r="K136" s="84">
        <v>160.6</v>
      </c>
      <c r="L136" s="84">
        <v>8.75</v>
      </c>
      <c r="N136" s="107">
        <f>AVERAGE($E130:$E136)*'Assumptions and Rations'!G$28+AVERAGE($F130:$F136)*'Assumptions and Rations'!G$31+AVERAGE($G130:$G136)*'Assumptions and Rations'!G$29+AVERAGE($I130:$I136)*'Assumptions and Rations'!G$30+'Prices and Spreads'!J$11</f>
        <v>144.47010877467363</v>
      </c>
      <c r="O136" s="107">
        <f>AVERAGE($E132:$E136)*'Assumptions and Rations'!H$28+AVERAGE($F132:$F136)*'Assumptions and Rations'!H$31+AVERAGE($G132:$G136)*'Assumptions and Rations'!H$29+AVERAGE($I132:$I136)*'Assumptions and Rations'!H$30+'Prices and Spreads'!K$11</f>
        <v>122.10135728581976</v>
      </c>
      <c r="P136" s="107">
        <f>N136*0.5*$L129/100*7/12+'Prices and Spreads'!J$15*'Prices and Spreads'!J$7+'Prices and Spreads'!J$14+'Prices and Spreads'!J$12+'Prices and Spreads'!J$13*'Historic Prices'!B129*'Prices and Spreads'!J$4/100</f>
        <v>144.3853071830716</v>
      </c>
      <c r="Q136" s="107">
        <f>O136*0.5*$L131/100*5/12+'Prices and Spreads'!K$15*'Prices and Spreads'!K$7+'Prices and Spreads'!K$14+'Prices and Spreads'!K$12+'Prices and Spreads'!K$13*'Historic Prices'!D131*'Prices and Spreads'!K$4/100</f>
        <v>118.27734765885607</v>
      </c>
    </row>
    <row r="137" spans="1:17" ht="15">
      <c r="A137" s="93">
        <v>36495</v>
      </c>
      <c r="B137" s="84">
        <v>95.89</v>
      </c>
      <c r="C137" s="84">
        <v>89.4</v>
      </c>
      <c r="D137" s="84">
        <v>68.93</v>
      </c>
      <c r="E137" s="84">
        <v>1.64</v>
      </c>
      <c r="F137" s="84">
        <f>2000/56*E137*'Cattle Returns'!C$5*'Cattle Returns'!C$4</f>
        <v>21.08571428571429</v>
      </c>
      <c r="G137" s="84">
        <v>60</v>
      </c>
      <c r="H137" s="84">
        <v>300</v>
      </c>
      <c r="I137" s="84">
        <f t="shared" si="2"/>
        <v>16.4</v>
      </c>
      <c r="J137" s="84">
        <v>287.6</v>
      </c>
      <c r="K137" s="84">
        <v>160.6</v>
      </c>
      <c r="L137" s="84">
        <v>8.75</v>
      </c>
      <c r="N137" s="107">
        <f>AVERAGE($E131:$E137)*'Assumptions and Rations'!G$28+AVERAGE($F131:$F137)*'Assumptions and Rations'!G$31+AVERAGE($G131:$G137)*'Assumptions and Rations'!G$29+AVERAGE($I131:$I137)*'Assumptions and Rations'!G$30+'Prices and Spreads'!J$11</f>
        <v>141.58167607745025</v>
      </c>
      <c r="O137" s="107">
        <f>AVERAGE($E133:$E137)*'Assumptions and Rations'!H$28+AVERAGE($F133:$F137)*'Assumptions and Rations'!H$31+AVERAGE($G133:$G137)*'Assumptions and Rations'!H$29+AVERAGE($I133:$I137)*'Assumptions and Rations'!H$30+'Prices and Spreads'!K$11</f>
        <v>123.23174567510135</v>
      </c>
      <c r="P137" s="107">
        <f>N137*0.5*$L130/100*7/12+'Prices and Spreads'!J$15*'Prices and Spreads'!J$7+'Prices and Spreads'!J$14+'Prices and Spreads'!J$12+'Prices and Spreads'!J$13*'Historic Prices'!B130*'Prices and Spreads'!J$4/100</f>
        <v>144.0104669736112</v>
      </c>
      <c r="Q137" s="107">
        <f>O137*0.5*$L132/100*5/12+'Prices and Spreads'!K$15*'Prices and Spreads'!K$7+'Prices and Spreads'!K$14+'Prices and Spreads'!K$12+'Prices and Spreads'!K$13*'Historic Prices'!D132*'Prices and Spreads'!K$4/100</f>
        <v>118.22876619720236</v>
      </c>
    </row>
    <row r="138" spans="1:17" ht="15">
      <c r="A138" s="93">
        <v>36526</v>
      </c>
      <c r="B138" s="84">
        <v>98.58</v>
      </c>
      <c r="C138" s="84">
        <v>87.82</v>
      </c>
      <c r="D138" s="84">
        <v>68</v>
      </c>
      <c r="E138" s="84">
        <v>1.78</v>
      </c>
      <c r="F138" s="84">
        <f>2000/56*E138*'Cattle Returns'!C$5*'Cattle Returns'!C$4</f>
        <v>22.88571428571429</v>
      </c>
      <c r="G138" s="84">
        <v>60</v>
      </c>
      <c r="H138" s="84">
        <v>300</v>
      </c>
      <c r="I138" s="84">
        <f t="shared" si="2"/>
        <v>17.8</v>
      </c>
      <c r="J138" s="84">
        <v>286.5</v>
      </c>
      <c r="K138" s="84">
        <v>160.6</v>
      </c>
      <c r="L138" s="84">
        <v>8.75</v>
      </c>
      <c r="N138" s="107">
        <f>AVERAGE($E132:$E138)*'Assumptions and Rations'!G$28+AVERAGE($F132:$F138)*'Assumptions and Rations'!G$31+AVERAGE($G132:$G138)*'Assumptions and Rations'!G$29+AVERAGE($I132:$I138)*'Assumptions and Rations'!G$30+'Prices and Spreads'!J$11</f>
        <v>140.78486705752653</v>
      </c>
      <c r="O138" s="107">
        <f>AVERAGE($E134:$E138)*'Assumptions and Rations'!H$28+AVERAGE($F134:$F138)*'Assumptions and Rations'!H$31+AVERAGE($G134:$G138)*'Assumptions and Rations'!H$29+AVERAGE($I134:$I138)*'Assumptions and Rations'!H$30+'Prices and Spreads'!K$11</f>
        <v>124.86452890406363</v>
      </c>
      <c r="P138" s="107">
        <f>N138*0.5*$L131/100*7/12+'Prices and Spreads'!J$15*'Prices and Spreads'!J$7+'Prices and Spreads'!J$14+'Prices and Spreads'!J$12+'Prices and Spreads'!J$13*'Historic Prices'!B131*'Prices and Spreads'!J$4/100</f>
        <v>144.07840674341523</v>
      </c>
      <c r="Q138" s="107">
        <f>O138*0.5*$L133/100*5/12+'Prices and Spreads'!K$15*'Prices and Spreads'!K$7+'Prices and Spreads'!K$14+'Prices and Spreads'!K$12+'Prices and Spreads'!K$13*'Historic Prices'!D133*'Prices and Spreads'!K$4/100</f>
        <v>118.31928047481364</v>
      </c>
    </row>
    <row r="139" spans="1:17" ht="15">
      <c r="A139" s="93">
        <v>36557</v>
      </c>
      <c r="B139" s="84">
        <v>103.02</v>
      </c>
      <c r="C139" s="84">
        <v>84.92</v>
      </c>
      <c r="D139" s="84">
        <v>67.51</v>
      </c>
      <c r="E139" s="84">
        <v>1.88</v>
      </c>
      <c r="F139" s="84">
        <f>2000/56*E139*'Cattle Returns'!C$5*'Cattle Returns'!C$4</f>
        <v>24.17142857142857</v>
      </c>
      <c r="G139" s="84">
        <v>60</v>
      </c>
      <c r="H139" s="84">
        <v>300</v>
      </c>
      <c r="I139" s="84">
        <f t="shared" si="2"/>
        <v>18.799999999999997</v>
      </c>
      <c r="J139" s="84">
        <v>294.5</v>
      </c>
      <c r="K139" s="84">
        <v>160.6</v>
      </c>
      <c r="L139" s="84">
        <v>8.75</v>
      </c>
      <c r="N139" s="107">
        <f>AVERAGE($E133:$E139)*'Assumptions and Rations'!G$28+AVERAGE($F133:$F139)*'Assumptions and Rations'!G$31+AVERAGE($G133:$G139)*'Assumptions and Rations'!G$29+AVERAGE($I133:$I139)*'Assumptions and Rations'!G$30+'Prices and Spreads'!J$11</f>
        <v>144.0717042647118</v>
      </c>
      <c r="O139" s="107">
        <f>AVERAGE($E135:$E139)*'Assumptions and Rations'!H$28+AVERAGE($F135:$F139)*'Assumptions and Rations'!H$31+AVERAGE($G135:$G139)*'Assumptions and Rations'!H$29+AVERAGE($I135:$I139)*'Assumptions and Rations'!H$30+'Prices and Spreads'!K$11</f>
        <v>127.75329923222772</v>
      </c>
      <c r="P139" s="107">
        <f>N139*0.5*$L132/100*7/12+'Prices and Spreads'!J$15*'Prices and Spreads'!J$7+'Prices and Spreads'!J$14+'Prices and Spreads'!J$12+'Prices and Spreads'!J$13*'Historic Prices'!B132*'Prices and Spreads'!J$4/100</f>
        <v>144.2612895679736</v>
      </c>
      <c r="Q139" s="107">
        <f>O139*0.5*$L134/100*5/12+'Prices and Spreads'!K$15*'Prices and Spreads'!K$7+'Prices and Spreads'!K$14+'Prices and Spreads'!K$12+'Prices and Spreads'!K$13*'Historic Prices'!D134*'Prices and Spreads'!K$4/100</f>
        <v>118.40400285058747</v>
      </c>
    </row>
    <row r="140" spans="1:17" ht="15">
      <c r="A140" s="93">
        <v>36586</v>
      </c>
      <c r="B140" s="84">
        <v>104.17</v>
      </c>
      <c r="C140" s="84">
        <v>84.53</v>
      </c>
      <c r="D140" s="84">
        <v>70.96</v>
      </c>
      <c r="E140" s="84">
        <v>1.95</v>
      </c>
      <c r="F140" s="84">
        <f>2000/56*E140*'Cattle Returns'!C$5*'Cattle Returns'!C$4</f>
        <v>25.07142857142857</v>
      </c>
      <c r="G140" s="84">
        <v>60</v>
      </c>
      <c r="H140" s="84">
        <v>300</v>
      </c>
      <c r="I140" s="84">
        <f t="shared" si="2"/>
        <v>19.5</v>
      </c>
      <c r="J140" s="84">
        <v>297</v>
      </c>
      <c r="K140" s="84">
        <v>160.6</v>
      </c>
      <c r="L140" s="84">
        <v>8.75</v>
      </c>
      <c r="N140" s="107">
        <f>AVERAGE($E134:$E140)*'Assumptions and Rations'!G$28+AVERAGE($F134:$F140)*'Assumptions and Rations'!G$31+AVERAGE($G134:$G140)*'Assumptions and Rations'!G$29+AVERAGE($I134:$I140)*'Assumptions and Rations'!G$30+'Prices and Spreads'!J$11</f>
        <v>147.05973808942565</v>
      </c>
      <c r="O140" s="107">
        <f>AVERAGE($E136:$E140)*'Assumptions and Rations'!H$28+AVERAGE($F136:$F140)*'Assumptions and Rations'!H$31+AVERAGE($G136:$G140)*'Assumptions and Rations'!H$29+AVERAGE($I136:$I140)*'Assumptions and Rations'!H$30+'Prices and Spreads'!K$11</f>
        <v>133.40524117863563</v>
      </c>
      <c r="P140" s="107">
        <f>N140*0.5*$L133/100*7/12+'Prices and Spreads'!J$15*'Prices and Spreads'!J$7+'Prices and Spreads'!J$14+'Prices and Spreads'!J$12+'Prices and Spreads'!J$13*'Historic Prices'!B133*'Prices and Spreads'!J$4/100</f>
        <v>144.1535716812085</v>
      </c>
      <c r="Q140" s="107">
        <f>O140*0.5*$L135/100*5/12+'Prices and Spreads'!K$15*'Prices and Spreads'!K$7+'Prices and Spreads'!K$14+'Prices and Spreads'!K$12+'Prices and Spreads'!K$13*'Historic Prices'!D135*'Prices and Spreads'!K$4/100</f>
        <v>118.67409554231887</v>
      </c>
    </row>
    <row r="141" spans="1:17" ht="15">
      <c r="A141" s="93">
        <v>36617</v>
      </c>
      <c r="B141" s="84">
        <v>103.35</v>
      </c>
      <c r="C141" s="84">
        <v>86.85</v>
      </c>
      <c r="D141" s="84">
        <v>72.95</v>
      </c>
      <c r="E141" s="84">
        <v>1.95</v>
      </c>
      <c r="F141" s="84">
        <f>2000/56*E141*'Cattle Returns'!C$5*'Cattle Returns'!C$4</f>
        <v>25.07142857142857</v>
      </c>
      <c r="G141" s="84">
        <v>60</v>
      </c>
      <c r="H141" s="84">
        <v>300</v>
      </c>
      <c r="I141" s="84">
        <f t="shared" si="2"/>
        <v>19.5</v>
      </c>
      <c r="J141" s="84">
        <v>295.2</v>
      </c>
      <c r="K141" s="84">
        <v>160.6</v>
      </c>
      <c r="L141" s="84">
        <v>9</v>
      </c>
      <c r="N141" s="107">
        <f>AVERAGE($E135:$E141)*'Assumptions and Rations'!G$28+AVERAGE($F135:$F141)*'Assumptions and Rations'!G$31+AVERAGE($G135:$G141)*'Assumptions and Rations'!G$29+AVERAGE($I135:$I141)*'Assumptions and Rations'!G$30+'Prices and Spreads'!J$11</f>
        <v>150.04777191413956</v>
      </c>
      <c r="O141" s="107">
        <f>AVERAGE($E137:$E141)*'Assumptions and Rations'!H$28+AVERAGE($F137:$F141)*'Assumptions and Rations'!H$31+AVERAGE($G137:$G141)*'Assumptions and Rations'!H$29+AVERAGE($I137:$I141)*'Assumptions and Rations'!H$30+'Prices and Spreads'!K$11</f>
        <v>137.17320247624093</v>
      </c>
      <c r="P141" s="107">
        <f>N141*0.5*$L134/100*7/12+'Prices and Spreads'!J$15*'Prices and Spreads'!J$7+'Prices and Spreads'!J$14+'Prices and Spreads'!J$12+'Prices and Spreads'!J$13*'Historic Prices'!B134*'Prices and Spreads'!J$4/100</f>
        <v>144.3082037944434</v>
      </c>
      <c r="Q141" s="107">
        <f>O141*0.5*$L136/100*5/12+'Prices and Spreads'!K$15*'Prices and Spreads'!K$7+'Prices and Spreads'!K$14+'Prices and Spreads'!K$12+'Prices and Spreads'!K$13*'Historic Prices'!D136*'Prices and Spreads'!K$4/100</f>
        <v>118.81365733680647</v>
      </c>
    </row>
    <row r="142" spans="1:17" ht="15">
      <c r="A142" s="93">
        <v>36647</v>
      </c>
      <c r="B142" s="84">
        <v>96.81</v>
      </c>
      <c r="C142" s="84">
        <v>85.33</v>
      </c>
      <c r="D142" s="84">
        <v>71.78</v>
      </c>
      <c r="E142" s="84">
        <v>2.04</v>
      </c>
      <c r="F142" s="84">
        <f>2000/56*E142*'Cattle Returns'!C$5*'Cattle Returns'!C$4</f>
        <v>26.228571428571435</v>
      </c>
      <c r="G142" s="84">
        <v>60</v>
      </c>
      <c r="H142" s="84">
        <v>300</v>
      </c>
      <c r="I142" s="84">
        <f t="shared" si="2"/>
        <v>20.4</v>
      </c>
      <c r="J142" s="84">
        <v>304</v>
      </c>
      <c r="K142" s="84">
        <v>160.6</v>
      </c>
      <c r="L142" s="84">
        <v>9</v>
      </c>
      <c r="N142" s="107">
        <f>AVERAGE($E136:$E142)*'Assumptions and Rations'!G$28+AVERAGE($F136:$F142)*'Assumptions and Rations'!G$31+AVERAGE($G136:$G142)*'Assumptions and Rations'!G$29+AVERAGE($I136:$I142)*'Assumptions and Rations'!G$30+'Prices and Spreads'!J$11</f>
        <v>155.42623279862454</v>
      </c>
      <c r="O142" s="107">
        <f>AVERAGE($E138:$E142)*'Assumptions and Rations'!H$28+AVERAGE($F138:$F142)*'Assumptions and Rations'!H$31+AVERAGE($G138:$G142)*'Assumptions and Rations'!H$29+AVERAGE($I138:$I142)*'Assumptions and Rations'!H$30+'Prices and Spreads'!K$11</f>
        <v>142.19715087304803</v>
      </c>
      <c r="P142" s="107">
        <f>N142*0.5*$L135/100*7/12+'Prices and Spreads'!J$15*'Prices and Spreads'!J$7+'Prices and Spreads'!J$14+'Prices and Spreads'!J$12+'Prices and Spreads'!J$13*'Historic Prices'!B135*'Prices and Spreads'!J$4/100</f>
        <v>144.24746659826616</v>
      </c>
      <c r="Q142" s="107">
        <f>O142*0.5*$L137/100*5/12+'Prices and Spreads'!K$15*'Prices and Spreads'!K$7+'Prices and Spreads'!K$14+'Prices and Spreads'!K$12+'Prices and Spreads'!K$13*'Historic Prices'!D137*'Prices and Spreads'!K$4/100</f>
        <v>118.8861147294566</v>
      </c>
    </row>
    <row r="143" spans="1:17" ht="15">
      <c r="A143" s="93">
        <v>36678</v>
      </c>
      <c r="B143" s="84">
        <v>99.7</v>
      </c>
      <c r="C143" s="84">
        <v>85.74</v>
      </c>
      <c r="D143" s="84">
        <v>70.02</v>
      </c>
      <c r="E143" s="84">
        <v>1.79</v>
      </c>
      <c r="F143" s="84">
        <f>2000/56*E143*'Cattle Returns'!C$5*'Cattle Returns'!C$4</f>
        <v>23.01428571428572</v>
      </c>
      <c r="G143" s="84">
        <v>60</v>
      </c>
      <c r="H143" s="84">
        <v>300</v>
      </c>
      <c r="I143" s="84">
        <f t="shared" si="2"/>
        <v>17.9</v>
      </c>
      <c r="J143" s="84">
        <v>302.5</v>
      </c>
      <c r="K143" s="84">
        <v>160.6</v>
      </c>
      <c r="L143" s="84">
        <v>9</v>
      </c>
      <c r="N143" s="107">
        <f>AVERAGE($E137:$E143)*'Assumptions and Rations'!G$28+AVERAGE($F137:$F143)*'Assumptions and Rations'!G$31+AVERAGE($G137:$G143)*'Assumptions and Rations'!G$29+AVERAGE($I137:$I143)*'Assumptions and Rations'!G$30+'Prices and Spreads'!J$11</f>
        <v>156.820648583491</v>
      </c>
      <c r="O143" s="107">
        <f>AVERAGE($E139:$E143)*'Assumptions and Rations'!H$28+AVERAGE($F139:$F143)*'Assumptions and Rations'!H$31+AVERAGE($G139:$G143)*'Assumptions and Rations'!H$29+AVERAGE($I139:$I143)*'Assumptions and Rations'!H$30+'Prices and Spreads'!K$11</f>
        <v>142.32274958296819</v>
      </c>
      <c r="P143" s="107">
        <f>N143*0.5*$L136/100*7/12+'Prices and Spreads'!J$15*'Prices and Spreads'!J$7+'Prices and Spreads'!J$14+'Prices and Spreads'!J$12+'Prices and Spreads'!J$13*'Historic Prices'!B136*'Prices and Spreads'!J$4/100</f>
        <v>144.86715325110913</v>
      </c>
      <c r="Q143" s="107">
        <f>O143*0.5*$L138/100*5/12+'Prices and Spreads'!K$15*'Prices and Spreads'!K$7+'Prices and Spreads'!K$14+'Prices and Spreads'!K$12+'Prices and Spreads'!K$13*'Historic Prices'!D138*'Prices and Spreads'!K$4/100</f>
        <v>118.83609178927286</v>
      </c>
    </row>
    <row r="144" spans="1:17" ht="15">
      <c r="A144" s="93">
        <v>36708</v>
      </c>
      <c r="B144" s="84">
        <v>106.49</v>
      </c>
      <c r="C144" s="84">
        <v>90.92</v>
      </c>
      <c r="D144" s="84">
        <v>66.99</v>
      </c>
      <c r="E144" s="84">
        <v>1.5</v>
      </c>
      <c r="F144" s="84">
        <f>2000/56*E144*'Cattle Returns'!C$5*'Cattle Returns'!C$4</f>
        <v>19.28571428571429</v>
      </c>
      <c r="G144" s="84">
        <v>60</v>
      </c>
      <c r="H144" s="84">
        <v>300</v>
      </c>
      <c r="I144" s="84">
        <f t="shared" si="2"/>
        <v>15</v>
      </c>
      <c r="J144" s="84">
        <v>291.2</v>
      </c>
      <c r="K144" s="84">
        <v>160.6</v>
      </c>
      <c r="L144" s="84">
        <v>9</v>
      </c>
      <c r="N144" s="107">
        <f>AVERAGE($E138:$E144)*'Assumptions and Rations'!G$28+AVERAGE($F138:$F144)*'Assumptions and Rations'!G$31+AVERAGE($G138:$G144)*'Assumptions and Rations'!G$29+AVERAGE($I138:$I144)*'Assumptions and Rations'!G$30+'Prices and Spreads'!J$11</f>
        <v>155.42623279862454</v>
      </c>
      <c r="O144" s="107">
        <f>AVERAGE($E140:$E144)*'Assumptions and Rations'!H$28+AVERAGE($F140:$F144)*'Assumptions and Rations'!H$31+AVERAGE($G140:$G144)*'Assumptions and Rations'!H$29+AVERAGE($I140:$I144)*'Assumptions and Rations'!H$30+'Prices and Spreads'!K$11</f>
        <v>137.54999860600148</v>
      </c>
      <c r="P144" s="107">
        <f>N144*0.5*$L137/100*7/12+'Prices and Spreads'!J$15*'Prices and Spreads'!J$7+'Prices and Spreads'!J$14+'Prices and Spreads'!J$12+'Prices and Spreads'!J$13*'Historic Prices'!B137*'Prices and Spreads'!J$4/100</f>
        <v>145.19291659826615</v>
      </c>
      <c r="Q144" s="107">
        <f>O144*0.5*$L139/100*5/12+'Prices and Spreads'!K$15*'Prices and Spreads'!K$7+'Prices and Spreads'!K$14+'Prices and Spreads'!K$12+'Prices and Spreads'!K$13*'Historic Prices'!D139*'Prices and Spreads'!K$4/100</f>
        <v>118.72152601625523</v>
      </c>
    </row>
    <row r="145" spans="1:17" ht="15">
      <c r="A145" s="93">
        <v>36739</v>
      </c>
      <c r="B145" s="84">
        <v>98.63</v>
      </c>
      <c r="C145" s="84">
        <v>87.18</v>
      </c>
      <c r="D145" s="84">
        <v>64.68</v>
      </c>
      <c r="E145" s="84">
        <v>1.4</v>
      </c>
      <c r="F145" s="84">
        <f>2000/56*E145*'Cattle Returns'!C$5*'Cattle Returns'!C$4</f>
        <v>18</v>
      </c>
      <c r="G145" s="84">
        <v>60</v>
      </c>
      <c r="H145" s="84">
        <v>300</v>
      </c>
      <c r="I145" s="84">
        <f t="shared" si="2"/>
        <v>14</v>
      </c>
      <c r="J145" s="84">
        <v>285</v>
      </c>
      <c r="K145" s="84">
        <v>160.6</v>
      </c>
      <c r="L145" s="84">
        <v>9</v>
      </c>
      <c r="N145" s="107">
        <f>AVERAGE($E139:$E145)*'Assumptions and Rations'!G$28+AVERAGE($F139:$F145)*'Assumptions and Rations'!G$31+AVERAGE($G139:$G145)*'Assumptions and Rations'!G$29+AVERAGE($I139:$I145)*'Assumptions and Rations'!G$30+'Prices and Spreads'!J$11</f>
        <v>151.64138995398696</v>
      </c>
      <c r="O145" s="107">
        <f>AVERAGE($E141:$E145)*'Assumptions and Rations'!H$28+AVERAGE($F141:$F145)*'Assumptions and Rations'!H$31+AVERAGE($G141:$G145)*'Assumptions and Rations'!H$29+AVERAGE($I141:$I145)*'Assumptions and Rations'!H$30+'Prices and Spreads'!K$11</f>
        <v>130.64206956039175</v>
      </c>
      <c r="P145" s="107">
        <f>N145*0.5*$L138/100*7/12+'Prices and Spreads'!J$15*'Prices and Spreads'!J$7+'Prices and Spreads'!J$14+'Prices and Spreads'!J$12+'Prices and Spreads'!J$13*'Historic Prices'!B138*'Prices and Spreads'!J$4/100</f>
        <v>145.3182492548353</v>
      </c>
      <c r="Q145" s="107">
        <f>O145*0.5*$L140/100*5/12+'Prices and Spreads'!K$15*'Prices and Spreads'!K$7+'Prices and Spreads'!K$14+'Prices and Spreads'!K$12+'Prices and Spreads'!K$13*'Historic Prices'!D140*'Prices and Spreads'!K$4/100</f>
        <v>118.7896627263613</v>
      </c>
    </row>
    <row r="146" spans="1:17" ht="15">
      <c r="A146" s="93">
        <v>36770</v>
      </c>
      <c r="B146" s="84">
        <v>93.72</v>
      </c>
      <c r="C146" s="84">
        <v>85.32</v>
      </c>
      <c r="D146" s="84">
        <v>64.38</v>
      </c>
      <c r="E146" s="84">
        <v>1.45</v>
      </c>
      <c r="F146" s="84">
        <f>2000/56*E146*'Cattle Returns'!C$5*'Cattle Returns'!C$4</f>
        <v>18.642857142857142</v>
      </c>
      <c r="G146" s="84">
        <v>60</v>
      </c>
      <c r="H146" s="84">
        <v>300</v>
      </c>
      <c r="I146" s="84">
        <f t="shared" si="2"/>
        <v>14.5</v>
      </c>
      <c r="J146" s="84">
        <v>296</v>
      </c>
      <c r="K146" s="84">
        <v>160.6</v>
      </c>
      <c r="L146" s="84">
        <v>9</v>
      </c>
      <c r="N146" s="107">
        <f>AVERAGE($E140:$E146)*'Assumptions and Rations'!G$28+AVERAGE($F140:$F146)*'Assumptions and Rations'!G$31+AVERAGE($G140:$G146)*'Assumptions and Rations'!G$29+AVERAGE($I140:$I146)*'Assumptions and Rations'!G$30+'Prices and Spreads'!J$11</f>
        <v>147.35854147189707</v>
      </c>
      <c r="O146" s="107">
        <f>AVERAGE($E142:$E146)*'Assumptions and Rations'!H$28+AVERAGE($F142:$F146)*'Assumptions and Rations'!H$31+AVERAGE($G142:$G146)*'Assumptions and Rations'!H$29+AVERAGE($I142:$I146)*'Assumptions and Rations'!H$30+'Prices and Spreads'!K$11</f>
        <v>124.36213406438293</v>
      </c>
      <c r="P146" s="107">
        <f>N146*0.5*$L139/100*7/12+'Prices and Spreads'!J$15*'Prices and Spreads'!J$7+'Prices and Spreads'!J$14+'Prices and Spreads'!J$12+'Prices and Spreads'!J$13*'Historic Prices'!B139*'Prices and Spreads'!J$4/100</f>
        <v>145.575247392532</v>
      </c>
      <c r="Q146" s="107">
        <f>O146*0.5*$L141/100*5/12+'Prices and Spreads'!K$15*'Prices and Spreads'!K$7+'Prices and Spreads'!K$14+'Prices and Spreads'!K$12+'Prices and Spreads'!K$13*'Historic Prices'!D141*'Prices and Spreads'!K$4/100</f>
        <v>118.85189418037383</v>
      </c>
    </row>
    <row r="147" spans="1:17" ht="15">
      <c r="A147" s="93">
        <v>36800</v>
      </c>
      <c r="B147" s="84">
        <v>92.01</v>
      </c>
      <c r="C147" s="84">
        <v>87.46</v>
      </c>
      <c r="D147" s="84">
        <v>66.44</v>
      </c>
      <c r="E147" s="84">
        <v>1.65</v>
      </c>
      <c r="F147" s="84">
        <f>2000/56*E147*'Cattle Returns'!C$5*'Cattle Returns'!C$4</f>
        <v>21.21428571428572</v>
      </c>
      <c r="G147" s="84">
        <v>60</v>
      </c>
      <c r="H147" s="84">
        <v>300</v>
      </c>
      <c r="I147" s="84">
        <f t="shared" si="2"/>
        <v>16.5</v>
      </c>
      <c r="J147" s="84">
        <v>298</v>
      </c>
      <c r="K147" s="84">
        <v>160.6</v>
      </c>
      <c r="L147" s="84">
        <v>9</v>
      </c>
      <c r="N147" s="107">
        <f>AVERAGE($E141:$E147)*'Assumptions and Rations'!G$28+AVERAGE($F141:$F147)*'Assumptions and Rations'!G$31+AVERAGE($G141:$G147)*'Assumptions and Rations'!G$29+AVERAGE($I141:$I147)*'Assumptions and Rations'!G$30+'Prices and Spreads'!J$11</f>
        <v>144.3705076471832</v>
      </c>
      <c r="O147" s="107">
        <f>AVERAGE($E143:$E147)*'Assumptions and Rations'!H$28+AVERAGE($F143:$F147)*'Assumptions and Rations'!H$31+AVERAGE($G143:$G147)*'Assumptions and Rations'!H$29+AVERAGE($I143:$I147)*'Assumptions and Rations'!H$30+'Prices and Spreads'!K$11</f>
        <v>119.46378437749604</v>
      </c>
      <c r="P147" s="107">
        <f>N147*0.5*$L140/100*7/12+'Prices and Spreads'!J$15*'Prices and Spreads'!J$7+'Prices and Spreads'!J$14+'Prices and Spreads'!J$12+'Prices and Spreads'!J$13*'Historic Prices'!B140*'Prices and Spreads'!J$4/100</f>
        <v>145.5938652792971</v>
      </c>
      <c r="Q147" s="107">
        <f>O147*0.5*$L142/100*5/12+'Prices and Spreads'!K$15*'Prices and Spreads'!K$7+'Prices and Spreads'!K$14+'Prices and Spreads'!K$12+'Prices and Spreads'!K$13*'Historic Prices'!D142*'Prices and Spreads'!K$4/100</f>
        <v>118.69423762374471</v>
      </c>
    </row>
    <row r="148" spans="1:17" ht="15">
      <c r="A148" s="93">
        <v>36831</v>
      </c>
      <c r="B148" s="84">
        <v>95.97</v>
      </c>
      <c r="C148" s="84">
        <v>92.14</v>
      </c>
      <c r="D148" s="84">
        <v>70</v>
      </c>
      <c r="E148" s="84">
        <v>1.78</v>
      </c>
      <c r="F148" s="84">
        <f>2000/56*E148*'Cattle Returns'!C$5*'Cattle Returns'!C$4</f>
        <v>22.88571428571429</v>
      </c>
      <c r="G148" s="84">
        <v>60</v>
      </c>
      <c r="H148" s="84">
        <v>300</v>
      </c>
      <c r="I148" s="84">
        <f t="shared" si="2"/>
        <v>17.8</v>
      </c>
      <c r="J148" s="84">
        <v>299.5</v>
      </c>
      <c r="K148" s="84">
        <v>160.6</v>
      </c>
      <c r="L148" s="84">
        <v>9</v>
      </c>
      <c r="N148" s="107">
        <f>AVERAGE($E142:$E148)*'Assumptions and Rations'!G$28+AVERAGE($F142:$F148)*'Assumptions and Rations'!G$31+AVERAGE($G142:$G148)*'Assumptions and Rations'!G$29+AVERAGE($I142:$I148)*'Assumptions and Rations'!G$30+'Prices and Spreads'!J$11</f>
        <v>142.67728847984534</v>
      </c>
      <c r="O148" s="107">
        <f>AVERAGE($E144:$E148)*'Assumptions and Rations'!H$28+AVERAGE($F144:$F148)*'Assumptions and Rations'!H$31+AVERAGE($G144:$G148)*'Assumptions and Rations'!H$29+AVERAGE($I144:$I148)*'Assumptions and Rations'!H$30+'Prices and Spreads'!K$11</f>
        <v>119.33818566757587</v>
      </c>
      <c r="P148" s="107">
        <f>N148*0.5*$L141/100*7/12+'Prices and Spreads'!J$15*'Prices and Spreads'!J$7+'Prices and Spreads'!J$14+'Prices and Spreads'!J$12+'Prices and Spreads'!J$13*'Historic Prices'!B141*'Prices and Spreads'!J$4/100</f>
        <v>145.58703843798054</v>
      </c>
      <c r="Q148" s="107">
        <f>O148*0.5*$L143/100*5/12+'Prices and Spreads'!K$15*'Prices and Spreads'!K$7+'Prices and Spreads'!K$14+'Prices and Spreads'!K$12+'Prices and Spreads'!K$13*'Historic Prices'!D143*'Prices and Spreads'!K$4/100</f>
        <v>118.5928826479337</v>
      </c>
    </row>
    <row r="149" spans="1:17" ht="15">
      <c r="A149" s="93">
        <v>36861</v>
      </c>
      <c r="B149" s="84">
        <v>97.13</v>
      </c>
      <c r="C149" s="84">
        <v>92.95</v>
      </c>
      <c r="D149" s="84">
        <v>73.95</v>
      </c>
      <c r="E149" s="84">
        <v>1.82</v>
      </c>
      <c r="F149" s="84">
        <f>2000/56*E149*'Cattle Returns'!C$5*'Cattle Returns'!C$4</f>
        <v>23.400000000000002</v>
      </c>
      <c r="G149" s="84">
        <v>60</v>
      </c>
      <c r="H149" s="84">
        <v>300</v>
      </c>
      <c r="I149" s="84">
        <f t="shared" si="2"/>
        <v>18.2</v>
      </c>
      <c r="J149" s="84">
        <v>314</v>
      </c>
      <c r="K149" s="84">
        <v>160.6</v>
      </c>
      <c r="L149" s="84">
        <v>9</v>
      </c>
      <c r="N149" s="107">
        <f>AVERAGE($E143:$E149)*'Assumptions and Rations'!G$28+AVERAGE($F143:$F149)*'Assumptions and Rations'!G$31+AVERAGE($G143:$G149)*'Assumptions and Rations'!G$29+AVERAGE($I143:$I149)*'Assumptions and Rations'!G$30+'Prices and Spreads'!J$11</f>
        <v>140.48606367505514</v>
      </c>
      <c r="O149" s="107">
        <f>AVERAGE($E145:$E149)*'Assumptions and Rations'!H$28+AVERAGE($F145:$F149)*'Assumptions and Rations'!H$31+AVERAGE($G145:$G149)*'Assumptions and Rations'!H$29+AVERAGE($I145:$I149)*'Assumptions and Rations'!H$30+'Prices and Spreads'!K$11</f>
        <v>123.35734438502152</v>
      </c>
      <c r="P149" s="107">
        <f>N149*0.5*$L142/100*7/12+'Prices and Spreads'!J$15*'Prices and Spreads'!J$7+'Prices and Spreads'!J$14+'Prices and Spreads'!J$12+'Prices and Spreads'!J$13*'Historic Prices'!B142*'Prices and Spreads'!J$4/100</f>
        <v>144.9899687868548</v>
      </c>
      <c r="Q149" s="107">
        <f>O149*0.5*$L144/100*5/12+'Prices and Spreads'!K$15*'Prices and Spreads'!K$7+'Prices and Spreads'!K$14+'Prices and Spreads'!K$12+'Prices and Spreads'!K$13*'Historic Prices'!D144*'Prices and Spreads'!K$4/100</f>
        <v>118.49780437388581</v>
      </c>
    </row>
    <row r="150" spans="1:17" ht="15">
      <c r="A150" s="93">
        <v>36892</v>
      </c>
      <c r="B150" s="84">
        <v>100.43</v>
      </c>
      <c r="C150" s="84">
        <v>88.75</v>
      </c>
      <c r="D150" s="84">
        <v>77.69</v>
      </c>
      <c r="E150" s="84">
        <v>1.85</v>
      </c>
      <c r="F150" s="84">
        <f>2000/56*E150*'Cattle Returns'!C$5*'Cattle Returns'!C$4</f>
        <v>23.78571428571429</v>
      </c>
      <c r="G150" s="84">
        <v>60</v>
      </c>
      <c r="H150" s="84">
        <v>300</v>
      </c>
      <c r="I150" s="84">
        <f t="shared" si="2"/>
        <v>18.5</v>
      </c>
      <c r="J150" s="84">
        <v>313.3</v>
      </c>
      <c r="K150" s="84">
        <v>160.6</v>
      </c>
      <c r="L150" s="84">
        <v>9</v>
      </c>
      <c r="N150" s="107">
        <f>AVERAGE($E144:$E150)*'Assumptions and Rations'!G$28+AVERAGE($F144:$F150)*'Assumptions and Rations'!G$31+AVERAGE($G144:$G150)*'Assumptions and Rations'!G$29+AVERAGE($I144:$I150)*'Assumptions and Rations'!G$30+'Prices and Spreads'!J$11</f>
        <v>141.08367043999792</v>
      </c>
      <c r="O150" s="107">
        <f>AVERAGE($E146:$E150)*'Assumptions and Rations'!H$28+AVERAGE($F146:$F150)*'Assumptions and Rations'!H$31+AVERAGE($G146:$G150)*'Assumptions and Rations'!H$29+AVERAGE($I146:$I150)*'Assumptions and Rations'!H$30+'Prices and Spreads'!K$11</f>
        <v>129.00928633142948</v>
      </c>
      <c r="P150" s="107">
        <f>N150*0.5*$L143/100*7/12+'Prices and Spreads'!J$15*'Prices and Spreads'!J$7+'Prices and Spreads'!J$14+'Prices and Spreads'!J$12+'Prices and Spreads'!J$13*'Historic Prices'!B143*'Prices and Spreads'!J$4/100</f>
        <v>145.24408096443454</v>
      </c>
      <c r="Q150" s="107">
        <f>O150*0.5*$L145/100*5/12+'Prices and Spreads'!K$15*'Prices and Spreads'!K$7+'Prices and Spreads'!K$14+'Prices and Spreads'!K$12+'Prices and Spreads'!K$13*'Historic Prices'!D145*'Prices and Spreads'!K$4/100</f>
        <v>118.47384078538096</v>
      </c>
    </row>
    <row r="151" spans="1:17" ht="15">
      <c r="A151" s="93">
        <v>36923</v>
      </c>
      <c r="B151" s="84">
        <v>102.68</v>
      </c>
      <c r="C151" s="84">
        <v>89.33</v>
      </c>
      <c r="D151" s="84">
        <v>78.8</v>
      </c>
      <c r="E151" s="84">
        <v>1.81</v>
      </c>
      <c r="F151" s="84">
        <f>2000/56*E151*'Cattle Returns'!C$5*'Cattle Returns'!C$4</f>
        <v>23.271428571428576</v>
      </c>
      <c r="G151" s="84">
        <v>60</v>
      </c>
      <c r="H151" s="84">
        <v>300</v>
      </c>
      <c r="I151" s="84">
        <f t="shared" si="2"/>
        <v>18.1</v>
      </c>
      <c r="J151" s="84">
        <v>297.15</v>
      </c>
      <c r="K151" s="84">
        <v>160.6</v>
      </c>
      <c r="L151" s="84">
        <v>9</v>
      </c>
      <c r="N151" s="107">
        <f>AVERAGE($E145:$E151)*'Assumptions and Rations'!G$28+AVERAGE($F145:$F151)*'Assumptions and Rations'!G$31+AVERAGE($G145:$G151)*'Assumptions and Rations'!G$29+AVERAGE($I145:$I151)*'Assumptions and Rations'!G$30+'Prices and Spreads'!J$11</f>
        <v>144.17130539220224</v>
      </c>
      <c r="O151" s="107">
        <f>AVERAGE($E147:$E151)*'Assumptions and Rations'!H$28+AVERAGE($F147:$F151)*'Assumptions and Rations'!H$31+AVERAGE($G147:$G151)*'Assumptions and Rations'!H$29+AVERAGE($I147:$I151)*'Assumptions and Rations'!H$30+'Prices and Spreads'!K$11</f>
        <v>133.53083988855582</v>
      </c>
      <c r="P151" s="107">
        <f>N151*0.5*$L144/100*7/12+'Prices and Spreads'!J$15*'Prices and Spreads'!J$7+'Prices and Spreads'!J$14+'Prices and Spreads'!J$12+'Prices and Spreads'!J$13*'Historic Prices'!B144*'Prices and Spreads'!J$4/100</f>
        <v>145.88530638192992</v>
      </c>
      <c r="Q151" s="107">
        <f>O151*0.5*$L146/100*5/12+'Prices and Spreads'!K$15*'Prices and Spreads'!K$7+'Prices and Spreads'!K$14+'Prices and Spreads'!K$12+'Prices and Spreads'!K$13*'Historic Prices'!D146*'Prices and Spreads'!K$4/100</f>
        <v>118.54174491457708</v>
      </c>
    </row>
    <row r="152" spans="1:17" ht="15">
      <c r="A152" s="93">
        <v>36951</v>
      </c>
      <c r="B152" s="84">
        <v>107.12</v>
      </c>
      <c r="C152" s="84">
        <v>88.79</v>
      </c>
      <c r="D152" s="84">
        <v>80.25</v>
      </c>
      <c r="E152" s="84">
        <v>1.85</v>
      </c>
      <c r="F152" s="84">
        <f>2000/56*E152*'Cattle Returns'!C$5*'Cattle Returns'!C$4</f>
        <v>23.78571428571429</v>
      </c>
      <c r="G152" s="84">
        <v>60</v>
      </c>
      <c r="H152" s="84">
        <v>300</v>
      </c>
      <c r="I152" s="84">
        <f t="shared" si="2"/>
        <v>18.5</v>
      </c>
      <c r="J152" s="84">
        <v>294.28</v>
      </c>
      <c r="K152" s="84">
        <v>160.6</v>
      </c>
      <c r="L152" s="84">
        <v>9</v>
      </c>
      <c r="N152" s="107">
        <f>AVERAGE($E146:$E152)*'Assumptions and Rations'!G$28+AVERAGE($F146:$F152)*'Assumptions and Rations'!G$31+AVERAGE($G146:$G152)*'Assumptions and Rations'!G$29+AVERAGE($I146:$I152)*'Assumptions and Rations'!G$30+'Prices and Spreads'!J$11</f>
        <v>148.65335612927308</v>
      </c>
      <c r="O152" s="107">
        <f>AVERAGE($E148:$E152)*'Assumptions and Rations'!H$28+AVERAGE($F148:$F152)*'Assumptions and Rations'!H$31+AVERAGE($G148:$G152)*'Assumptions and Rations'!H$29+AVERAGE($I148:$I152)*'Assumptions and Rations'!H$30+'Prices and Spreads'!K$11</f>
        <v>136.04281408695934</v>
      </c>
      <c r="P152" s="107">
        <f>N152*0.5*$L145/100*7/12+'Prices and Spreads'!J$15*'Prices and Spreads'!J$7+'Prices and Spreads'!J$14+'Prices and Spreads'!J$12+'Prices and Spreads'!J$13*'Historic Prices'!B145*'Prices and Spreads'!J$4/100</f>
        <v>145.35451021377804</v>
      </c>
      <c r="Q152" s="107">
        <f>O152*0.5*$L147/100*5/12+'Prices and Spreads'!K$15*'Prices and Spreads'!K$7+'Prices and Spreads'!K$14+'Prices and Spreads'!K$12+'Prices and Spreads'!K$13*'Historic Prices'!D147*'Prices and Spreads'!K$4/100</f>
        <v>118.70471943079714</v>
      </c>
    </row>
    <row r="153" spans="1:17" ht="15">
      <c r="A153" s="93">
        <v>36982</v>
      </c>
      <c r="B153" s="84">
        <v>109.47</v>
      </c>
      <c r="C153" s="84">
        <v>91.1</v>
      </c>
      <c r="D153" s="84">
        <v>78.123375</v>
      </c>
      <c r="E153" s="84">
        <v>1.77</v>
      </c>
      <c r="F153" s="84">
        <f>2000/56*E153*'Cattle Returns'!C$5*'Cattle Returns'!C$4</f>
        <v>22.75714285714286</v>
      </c>
      <c r="G153" s="84">
        <v>60</v>
      </c>
      <c r="H153" s="84">
        <v>300</v>
      </c>
      <c r="I153" s="84">
        <f t="shared" si="2"/>
        <v>17.7</v>
      </c>
      <c r="J153" s="84">
        <v>295.65</v>
      </c>
      <c r="K153" s="84">
        <v>160.6</v>
      </c>
      <c r="L153" s="84">
        <v>9</v>
      </c>
      <c r="N153" s="107">
        <f>AVERAGE($E147:$E153)*'Assumptions and Rations'!G$28+AVERAGE($F147:$F153)*'Assumptions and Rations'!G$31+AVERAGE($G147:$G153)*'Assumptions and Rations'!G$29+AVERAGE($I147:$I153)*'Assumptions and Rations'!G$30+'Prices and Spreads'!J$11</f>
        <v>151.84059220896788</v>
      </c>
      <c r="O153" s="107">
        <f>AVERAGE($E149:$E153)*'Assumptions and Rations'!H$28+AVERAGE($F149:$F153)*'Assumptions and Rations'!H$31+AVERAGE($G149:$G153)*'Assumptions and Rations'!H$29+AVERAGE($I149:$I153)*'Assumptions and Rations'!H$30+'Prices and Spreads'!K$11</f>
        <v>135.91721537703918</v>
      </c>
      <c r="P153" s="107">
        <f>N153*0.5*$L146/100*7/12+'Prices and Spreads'!J$15*'Prices and Spreads'!J$7+'Prices and Spreads'!J$14+'Prices and Spreads'!J$12+'Prices and Spreads'!J$13*'Historic Prices'!B146*'Prices and Spreads'!J$4/100</f>
        <v>145.03310016087002</v>
      </c>
      <c r="Q153" s="107">
        <f>O153*0.5*$L148/100*5/12+'Prices and Spreads'!K$15*'Prices and Spreads'!K$7+'Prices and Spreads'!K$14+'Prices and Spreads'!K$12+'Prices and Spreads'!K$13*'Historic Prices'!D148*'Prices and Spreads'!K$4/100</f>
        <v>118.90261445498614</v>
      </c>
    </row>
    <row r="154" spans="1:17" ht="15">
      <c r="A154" s="93">
        <v>37012</v>
      </c>
      <c r="B154" s="84">
        <v>103.46</v>
      </c>
      <c r="C154" s="84">
        <v>89.62</v>
      </c>
      <c r="D154" s="84">
        <v>76.71</v>
      </c>
      <c r="E154" s="84">
        <v>1.61</v>
      </c>
      <c r="F154" s="84">
        <f>2000/56*E154*'Cattle Returns'!C$5*'Cattle Returns'!C$4</f>
        <v>20.700000000000003</v>
      </c>
      <c r="G154" s="84">
        <v>60</v>
      </c>
      <c r="H154" s="84">
        <v>300</v>
      </c>
      <c r="I154" s="84">
        <f t="shared" si="2"/>
        <v>16.1</v>
      </c>
      <c r="J154" s="84">
        <v>297.5</v>
      </c>
      <c r="K154" s="84">
        <v>160.6</v>
      </c>
      <c r="L154" s="84">
        <v>9</v>
      </c>
      <c r="N154" s="107">
        <f>AVERAGE($E148:$E154)*'Assumptions and Rations'!G$28+AVERAGE($F148:$F154)*'Assumptions and Rations'!G$31+AVERAGE($G148:$G154)*'Assumptions and Rations'!G$29+AVERAGE($I148:$I154)*'Assumptions and Rations'!G$30+'Prices and Spreads'!J$11</f>
        <v>151.44218769900604</v>
      </c>
      <c r="O154" s="107">
        <f>AVERAGE($E150:$E154)*'Assumptions and Rations'!H$28+AVERAGE($F150:$F154)*'Assumptions and Rations'!H$31+AVERAGE($G150:$G154)*'Assumptions and Rations'!H$29+AVERAGE($I150:$I154)*'Assumptions and Rations'!H$30+'Prices and Spreads'!K$11</f>
        <v>133.27964246871548</v>
      </c>
      <c r="P154" s="107">
        <f>N154*0.5*$L147/100*7/12+'Prices and Spreads'!J$15*'Prices and Spreads'!J$7+'Prices and Spreads'!J$14+'Prices and Spreads'!J$12+'Prices and Spreads'!J$13*'Historic Prices'!B147*'Prices and Spreads'!J$4/100</f>
        <v>144.8815670424835</v>
      </c>
      <c r="Q154" s="107">
        <f>O154*0.5*$L149/100*5/12+'Prices and Spreads'!K$15*'Prices and Spreads'!K$7+'Prices and Spreads'!K$14+'Prices and Spreads'!K$12+'Prices and Spreads'!K$13*'Historic Prices'!D149*'Prices and Spreads'!K$4/100</f>
        <v>119.07534746295508</v>
      </c>
    </row>
    <row r="155" spans="1:17" ht="15">
      <c r="A155" s="93">
        <v>37043</v>
      </c>
      <c r="B155" s="84">
        <v>106.54</v>
      </c>
      <c r="C155" s="84">
        <v>92.52</v>
      </c>
      <c r="D155" s="84">
        <v>75.58</v>
      </c>
      <c r="E155" s="84">
        <v>1.56</v>
      </c>
      <c r="F155" s="84">
        <f>2000/56*E155*'Cattle Returns'!C$5*'Cattle Returns'!C$4</f>
        <v>20.05714285714286</v>
      </c>
      <c r="G155" s="84">
        <v>60</v>
      </c>
      <c r="H155" s="84">
        <v>300</v>
      </c>
      <c r="I155" s="84">
        <f t="shared" si="2"/>
        <v>15.600000000000001</v>
      </c>
      <c r="J155" s="84">
        <v>307.84</v>
      </c>
      <c r="K155" s="84">
        <v>160.6</v>
      </c>
      <c r="L155" s="84">
        <v>9</v>
      </c>
      <c r="N155" s="107">
        <f>AVERAGE($E149:$E155)*'Assumptions and Rations'!G$28+AVERAGE($F149:$F155)*'Assumptions and Rations'!G$31+AVERAGE($G149:$G155)*'Assumptions and Rations'!G$29+AVERAGE($I149:$I155)*'Assumptions and Rations'!G$30+'Prices and Spreads'!J$11</f>
        <v>149.25096289421586</v>
      </c>
      <c r="O155" s="107">
        <f>AVERAGE($E151:$E155)*'Assumptions and Rations'!H$28+AVERAGE($F151:$F155)*'Assumptions and Rations'!H$31+AVERAGE($G151:$G155)*'Assumptions and Rations'!H$29+AVERAGE($I151:$I155)*'Assumptions and Rations'!H$30+'Prices and Spreads'!K$11</f>
        <v>129.63727988103034</v>
      </c>
      <c r="P155" s="107">
        <f>N155*0.5*$L148/100*7/12+'Prices and Spreads'!J$15*'Prices and Spreads'!J$7+'Prices and Spreads'!J$14+'Prices and Spreads'!J$12+'Prices and Spreads'!J$13*'Historic Prices'!B148*'Prices and Spreads'!J$4/100</f>
        <v>145.15074739135778</v>
      </c>
      <c r="Q155" s="107">
        <f>O155*0.5*$L150/100*5/12+'Prices and Spreads'!K$15*'Prices and Spreads'!K$7+'Prices and Spreads'!K$14+'Prices and Spreads'!K$12+'Prices and Spreads'!K$13*'Historic Prices'!D150*'Prices and Spreads'!K$4/100</f>
        <v>119.21742816443597</v>
      </c>
    </row>
    <row r="156" spans="1:17" ht="15">
      <c r="A156" s="93">
        <v>37073</v>
      </c>
      <c r="B156" s="84">
        <v>102.87</v>
      </c>
      <c r="C156" s="84">
        <v>91.81</v>
      </c>
      <c r="D156" s="84">
        <v>73.15</v>
      </c>
      <c r="E156" s="84">
        <v>1.71</v>
      </c>
      <c r="F156" s="84">
        <f>2000/56*E156*'Cattle Returns'!C$5*'Cattle Returns'!C$4</f>
        <v>21.985714285714288</v>
      </c>
      <c r="G156" s="84">
        <v>60</v>
      </c>
      <c r="H156" s="84">
        <v>300</v>
      </c>
      <c r="I156" s="84">
        <f t="shared" si="2"/>
        <v>17.1</v>
      </c>
      <c r="J156" s="84">
        <v>311.6</v>
      </c>
      <c r="K156" s="84">
        <v>160.6</v>
      </c>
      <c r="L156" s="84">
        <v>9</v>
      </c>
      <c r="N156" s="107">
        <f>AVERAGE($E150:$E156)*'Assumptions and Rations'!G$28+AVERAGE($F150:$F156)*'Assumptions and Rations'!G$31+AVERAGE($G150:$G156)*'Assumptions and Rations'!G$29+AVERAGE($I150:$I156)*'Assumptions and Rations'!G$30+'Prices and Spreads'!J$11</f>
        <v>148.15535049182077</v>
      </c>
      <c r="O156" s="107">
        <f>AVERAGE($E152:$E156)*'Assumptions and Rations'!H$28+AVERAGE($F152:$F156)*'Assumptions and Rations'!H$31+AVERAGE($G152:$G156)*'Assumptions and Rations'!H$29+AVERAGE($I152:$I156)*'Assumptions and Rations'!H$30+'Prices and Spreads'!K$11</f>
        <v>128.3812927818286</v>
      </c>
      <c r="P156" s="107">
        <f>N156*0.5*$L149/100*7/12+'Prices and Spreads'!J$15*'Prices and Spreads'!J$7+'Prices and Spreads'!J$14+'Prices and Spreads'!J$12+'Prices and Spreads'!J$13*'Historic Prices'!B149*'Prices and Spreads'!J$4/100</f>
        <v>145.2176875657949</v>
      </c>
      <c r="Q156" s="107">
        <f>O156*0.5*$L151/100*5/12+'Prices and Spreads'!K$15*'Prices and Spreads'!K$7+'Prices and Spreads'!K$14+'Prices and Spreads'!K$12+'Prices and Spreads'!K$13*'Historic Prices'!D151*'Prices and Spreads'!K$4/100</f>
        <v>119.25631590632595</v>
      </c>
    </row>
    <row r="157" spans="1:17" ht="15">
      <c r="A157" s="93">
        <v>37104</v>
      </c>
      <c r="B157" s="84">
        <v>99.49</v>
      </c>
      <c r="C157" s="84">
        <v>92.15</v>
      </c>
      <c r="D157" s="84">
        <v>71.71</v>
      </c>
      <c r="E157" s="84">
        <v>1.79</v>
      </c>
      <c r="F157" s="84">
        <f>2000/56*E157*'Cattle Returns'!C$5*'Cattle Returns'!C$4</f>
        <v>23.01428571428572</v>
      </c>
      <c r="G157" s="84">
        <v>60</v>
      </c>
      <c r="H157" s="84">
        <v>300</v>
      </c>
      <c r="I157" s="84">
        <f t="shared" si="2"/>
        <v>17.9</v>
      </c>
      <c r="J157" s="84">
        <v>310.15</v>
      </c>
      <c r="K157" s="84">
        <v>160</v>
      </c>
      <c r="L157" s="84">
        <v>9</v>
      </c>
      <c r="N157" s="107">
        <f>AVERAGE($E151:$E157)*'Assumptions and Rations'!G$28+AVERAGE($F151:$F157)*'Assumptions and Rations'!G$31+AVERAGE($G151:$G157)*'Assumptions and Rations'!G$29+AVERAGE($I151:$I157)*'Assumptions and Rations'!G$30+'Prices and Spreads'!J$11</f>
        <v>147.55774372687796</v>
      </c>
      <c r="O157" s="107">
        <f>AVERAGE($E153:$E157)*'Assumptions and Rations'!H$28+AVERAGE($F153:$F157)*'Assumptions and Rations'!H$31+AVERAGE($G153:$G157)*'Assumptions and Rations'!H$29+AVERAGE($I153:$I157)*'Assumptions and Rations'!H$30+'Prices and Spreads'!K$11</f>
        <v>127.62770052230752</v>
      </c>
      <c r="P157" s="107">
        <f>N157*0.5*$L150/100*7/12+'Prices and Spreads'!J$15*'Prices and Spreads'!J$7+'Prices and Spreads'!J$14+'Prices and Spreads'!J$12+'Prices and Spreads'!J$13*'Historic Prices'!B150*'Prices and Spreads'!J$4/100</f>
        <v>145.47425038821515</v>
      </c>
      <c r="Q157" s="107">
        <f>O157*0.5*$L152/100*5/12+'Prices and Spreads'!K$15*'Prices and Spreads'!K$7+'Prices and Spreads'!K$14+'Prices and Spreads'!K$12+'Prices and Spreads'!K$13*'Historic Prices'!D152*'Prices and Spreads'!K$4/100</f>
        <v>119.32374855145991</v>
      </c>
    </row>
    <row r="158" spans="1:17" ht="15">
      <c r="A158" s="93">
        <v>37135</v>
      </c>
      <c r="B158" s="84">
        <v>99.92</v>
      </c>
      <c r="C158" s="84">
        <v>92.96</v>
      </c>
      <c r="D158" s="84">
        <v>68.92</v>
      </c>
      <c r="E158" s="84">
        <v>1.74</v>
      </c>
      <c r="F158" s="84">
        <f>2000/56*E158*'Cattle Returns'!C$5*'Cattle Returns'!C$4</f>
        <v>22.371428571428574</v>
      </c>
      <c r="G158" s="84">
        <v>60</v>
      </c>
      <c r="H158" s="84">
        <v>300</v>
      </c>
      <c r="I158" s="84">
        <f t="shared" si="2"/>
        <v>17.4</v>
      </c>
      <c r="J158" s="84">
        <v>304.75</v>
      </c>
      <c r="K158" s="84">
        <v>160</v>
      </c>
      <c r="L158" s="84">
        <v>9</v>
      </c>
      <c r="N158" s="107">
        <f>AVERAGE($E152:$E158)*'Assumptions and Rations'!G$28+AVERAGE($F152:$F158)*'Assumptions and Rations'!G$31+AVERAGE($G152:$G158)*'Assumptions and Rations'!G$29+AVERAGE($I152:$I158)*'Assumptions and Rations'!G$30+'Prices and Spreads'!J$11</f>
        <v>146.86053583444473</v>
      </c>
      <c r="O158" s="107">
        <f>AVERAGE($E154:$E158)*'Assumptions and Rations'!H$28+AVERAGE($F154:$F158)*'Assumptions and Rations'!H$31+AVERAGE($G154:$G158)*'Assumptions and Rations'!H$29+AVERAGE($I154:$I158)*'Assumptions and Rations'!H$30+'Prices and Spreads'!K$11</f>
        <v>127.250904392547</v>
      </c>
      <c r="P158" s="107">
        <f>N158*0.5*$L151/100*7/12+'Prices and Spreads'!J$15*'Prices and Spreads'!J$7+'Prices and Spreads'!J$14+'Prices and Spreads'!J$12+'Prices and Spreads'!J$13*'Historic Prices'!B151*'Prices and Spreads'!J$4/100</f>
        <v>145.64157368103878</v>
      </c>
      <c r="Q158" s="107">
        <f>O158*0.5*$L153/100*5/12+'Prices and Spreads'!K$15*'Prices and Spreads'!K$7+'Prices and Spreads'!K$14+'Prices and Spreads'!K$12+'Prices and Spreads'!K$13*'Historic Prices'!D153*'Prices and Spreads'!K$4/100</f>
        <v>119.1970609677769</v>
      </c>
    </row>
    <row r="159" spans="1:17" ht="15">
      <c r="A159" s="93">
        <v>37165</v>
      </c>
      <c r="B159" s="84">
        <v>91.89</v>
      </c>
      <c r="C159" s="84">
        <v>89.81</v>
      </c>
      <c r="D159" s="84">
        <v>66.15</v>
      </c>
      <c r="E159" s="84">
        <v>1.66</v>
      </c>
      <c r="F159" s="84">
        <f>2000/56*E159*'Cattle Returns'!C$5*'Cattle Returns'!C$4</f>
        <v>21.34285714285714</v>
      </c>
      <c r="G159" s="84">
        <v>60</v>
      </c>
      <c r="H159" s="84">
        <v>300</v>
      </c>
      <c r="I159" s="84">
        <f t="shared" si="2"/>
        <v>16.599999999999998</v>
      </c>
      <c r="J159" s="84">
        <v>298.8</v>
      </c>
      <c r="K159" s="84">
        <v>160</v>
      </c>
      <c r="L159" s="84">
        <v>9</v>
      </c>
      <c r="N159" s="107">
        <f>AVERAGE($E153:$E159)*'Assumptions and Rations'!G$28+AVERAGE($F153:$F159)*'Assumptions and Rations'!G$31+AVERAGE($G153:$G159)*'Assumptions and Rations'!G$29+AVERAGE($I153:$I159)*'Assumptions and Rations'!G$30+'Prices and Spreads'!J$11</f>
        <v>144.96811441212597</v>
      </c>
      <c r="O159" s="107">
        <f>AVERAGE($E155:$E159)*'Assumptions and Rations'!H$28+AVERAGE($F155:$F159)*'Assumptions and Rations'!H$31+AVERAGE($G155:$G159)*'Assumptions and Rations'!H$29+AVERAGE($I155:$I159)*'Assumptions and Rations'!H$30+'Prices and Spreads'!K$11</f>
        <v>127.87889794214789</v>
      </c>
      <c r="P159" s="107">
        <f>N159*0.5*$L152/100*7/12+'Prices and Spreads'!J$15*'Prices and Spreads'!J$7+'Prices and Spreads'!J$14+'Prices and Spreads'!J$12+'Prices and Spreads'!J$13*'Historic Prices'!B152*'Prices and Spreads'!J$4/100</f>
        <v>145.9581976187029</v>
      </c>
      <c r="Q159" s="107">
        <f>O159*0.5*$L154/100*5/12+'Prices and Spreads'!K$15*'Prices and Spreads'!K$7+'Prices and Spreads'!K$14+'Prices and Spreads'!K$12+'Prices and Spreads'!K$13*'Historic Prices'!D154*'Prices and Spreads'!K$4/100</f>
        <v>119.12933350308192</v>
      </c>
    </row>
    <row r="160" spans="1:17" ht="15">
      <c r="A160" s="93">
        <v>37196</v>
      </c>
      <c r="B160" s="84">
        <v>93.41</v>
      </c>
      <c r="C160" s="84">
        <v>85.32</v>
      </c>
      <c r="D160" s="84">
        <v>64.06</v>
      </c>
      <c r="E160" s="84">
        <v>1.74</v>
      </c>
      <c r="F160" s="84">
        <f>2000/56*E160*'Cattle Returns'!C$5*'Cattle Returns'!C$4</f>
        <v>22.371428571428574</v>
      </c>
      <c r="G160" s="84">
        <v>60</v>
      </c>
      <c r="H160" s="84">
        <v>300</v>
      </c>
      <c r="I160" s="84">
        <f t="shared" si="2"/>
        <v>17.4</v>
      </c>
      <c r="J160" s="84">
        <v>297.92</v>
      </c>
      <c r="K160" s="84">
        <v>160</v>
      </c>
      <c r="L160" s="84">
        <v>9</v>
      </c>
      <c r="N160" s="107">
        <f>AVERAGE($E154:$E160)*'Assumptions and Rations'!G$28+AVERAGE($F154:$F160)*'Assumptions and Rations'!G$31+AVERAGE($G154:$G160)*'Assumptions and Rations'!G$29+AVERAGE($I154:$I160)*'Assumptions and Rations'!G$30+'Prices and Spreads'!J$11</f>
        <v>144.66931102965458</v>
      </c>
      <c r="O160" s="107">
        <f>AVERAGE($E156:$E160)*'Assumptions and Rations'!H$28+AVERAGE($F156:$F160)*'Assumptions and Rations'!H$31+AVERAGE($G156:$G160)*'Assumptions and Rations'!H$29+AVERAGE($I156:$I160)*'Assumptions and Rations'!H$30+'Prices and Spreads'!K$11</f>
        <v>130.13967472071104</v>
      </c>
      <c r="P160" s="107">
        <f>N160*0.5*$L153/100*7/12+'Prices and Spreads'!J$15*'Prices and Spreads'!J$7+'Prices and Spreads'!J$14+'Prices and Spreads'!J$12+'Prices and Spreads'!J$13*'Historic Prices'!B153*'Prices and Spreads'!J$4/100</f>
        <v>146.14422902991305</v>
      </c>
      <c r="Q160" s="107">
        <f>O160*0.5*$L155/100*5/12+'Prices and Spreads'!K$15*'Prices and Spreads'!K$7+'Prices and Spreads'!K$14+'Prices and Spreads'!K$12+'Prices and Spreads'!K$13*'Historic Prices'!D155*'Prices and Spreads'!K$4/100</f>
        <v>119.10816056767999</v>
      </c>
    </row>
    <row r="161" spans="1:17" ht="15">
      <c r="A161" s="93">
        <v>37226</v>
      </c>
      <c r="B161" s="84">
        <v>97.03</v>
      </c>
      <c r="C161" s="84">
        <v>86.23</v>
      </c>
      <c r="D161" s="84">
        <v>63.78</v>
      </c>
      <c r="E161" s="84">
        <v>1.83</v>
      </c>
      <c r="F161" s="84">
        <f>2000/56*E161*'Cattle Returns'!C$5*'Cattle Returns'!C$4</f>
        <v>23.528571428571432</v>
      </c>
      <c r="G161" s="84">
        <v>60</v>
      </c>
      <c r="H161" s="84">
        <v>300</v>
      </c>
      <c r="I161" s="84">
        <f t="shared" si="2"/>
        <v>18.3</v>
      </c>
      <c r="J161" s="84">
        <v>290.65</v>
      </c>
      <c r="K161" s="84">
        <v>160</v>
      </c>
      <c r="L161" s="84">
        <v>9</v>
      </c>
      <c r="N161" s="107">
        <f>AVERAGE($E155:$E161)*'Assumptions and Rations'!G$28+AVERAGE($F155:$F161)*'Assumptions and Rations'!G$31+AVERAGE($G155:$G161)*'Assumptions and Rations'!G$29+AVERAGE($I155:$I161)*'Assumptions and Rations'!G$30+'Prices and Spreads'!J$11</f>
        <v>146.86053583444473</v>
      </c>
      <c r="O161" s="107">
        <f>AVERAGE($E157:$E161)*'Assumptions and Rations'!H$28+AVERAGE($F157:$F161)*'Assumptions and Rations'!H$31+AVERAGE($G157:$G161)*'Assumptions and Rations'!H$29+AVERAGE($I157:$I161)*'Assumptions and Rations'!H$30+'Prices and Spreads'!K$11</f>
        <v>131.64685923975316</v>
      </c>
      <c r="P161" s="107">
        <f>N161*0.5*$L154/100*7/12+'Prices and Spreads'!J$15*'Prices and Spreads'!J$7+'Prices and Spreads'!J$14+'Prices and Spreads'!J$12+'Prices and Spreads'!J$13*'Historic Prices'!B154*'Prices and Spreads'!J$4/100</f>
        <v>145.70592368103877</v>
      </c>
      <c r="Q161" s="107">
        <f>O161*0.5*$L156/100*5/12+'Prices and Spreads'!K$15*'Prices and Spreads'!K$7+'Prices and Spreads'!K$14+'Prices and Spreads'!K$12+'Prices and Spreads'!K$13*'Historic Prices'!D156*'Prices and Spreads'!K$4/100</f>
        <v>118.99973277741204</v>
      </c>
    </row>
    <row r="162" spans="1:17" ht="15">
      <c r="A162" s="93">
        <v>37257</v>
      </c>
      <c r="B162" s="84">
        <v>94.91</v>
      </c>
      <c r="C162" s="84">
        <v>82.78</v>
      </c>
      <c r="D162" s="84">
        <v>67.48</v>
      </c>
      <c r="E162" s="84">
        <v>1.8</v>
      </c>
      <c r="F162" s="84">
        <f>2000/56*E162*'Cattle Returns'!C$5*'Cattle Returns'!C$4</f>
        <v>23.142857142857146</v>
      </c>
      <c r="G162" s="84">
        <v>60</v>
      </c>
      <c r="H162" s="84">
        <v>300</v>
      </c>
      <c r="I162" s="84">
        <f t="shared" si="2"/>
        <v>18</v>
      </c>
      <c r="J162" s="84">
        <v>293.88</v>
      </c>
      <c r="K162" s="84">
        <v>160</v>
      </c>
      <c r="L162" s="84">
        <v>9</v>
      </c>
      <c r="N162" s="107">
        <f>AVERAGE($E156:$E162)*'Assumptions and Rations'!G$28+AVERAGE($F156:$F162)*'Assumptions and Rations'!G$31+AVERAGE($G156:$G162)*'Assumptions and Rations'!G$29+AVERAGE($I156:$I162)*'Assumptions and Rations'!G$30+'Prices and Spreads'!J$11</f>
        <v>149.25096289421586</v>
      </c>
      <c r="O162" s="107">
        <f>AVERAGE($E158:$E162)*'Assumptions and Rations'!H$28+AVERAGE($F158:$F162)*'Assumptions and Rations'!H$31+AVERAGE($G158:$G162)*'Assumptions and Rations'!H$29+AVERAGE($I158:$I162)*'Assumptions and Rations'!H$30+'Prices and Spreads'!K$11</f>
        <v>131.77245794967334</v>
      </c>
      <c r="P162" s="107">
        <f>N162*0.5*$L155/100*7/12+'Prices and Spreads'!J$15*'Prices and Spreads'!J$7+'Prices and Spreads'!J$14+'Prices and Spreads'!J$12+'Prices and Spreads'!J$13*'Historic Prices'!B155*'Prices and Spreads'!J$4/100</f>
        <v>146.02277239135776</v>
      </c>
      <c r="Q162" s="107">
        <f>O162*0.5*$L157/100*5/12+'Prices and Spreads'!K$15*'Prices and Spreads'!K$7+'Prices and Spreads'!K$14+'Prices and Spreads'!K$12+'Prices and Spreads'!K$13*'Historic Prices'!D157*'Prices and Spreads'!K$4/100</f>
        <v>118.92108775322303</v>
      </c>
    </row>
    <row r="163" spans="1:17" ht="15">
      <c r="A163" s="93">
        <v>37288</v>
      </c>
      <c r="B163" s="84">
        <v>97.41</v>
      </c>
      <c r="C163" s="84">
        <v>82.89</v>
      </c>
      <c r="D163" s="84">
        <v>70.91</v>
      </c>
      <c r="E163" s="84">
        <v>1.78</v>
      </c>
      <c r="F163" s="84">
        <f>2000/56*E163*'Cattle Returns'!C$5*'Cattle Returns'!C$4</f>
        <v>22.88571428571429</v>
      </c>
      <c r="G163" s="84">
        <v>60</v>
      </c>
      <c r="H163" s="84">
        <v>300</v>
      </c>
      <c r="I163" s="84">
        <f t="shared" si="2"/>
        <v>17.8</v>
      </c>
      <c r="J163" s="84">
        <v>290.85</v>
      </c>
      <c r="K163" s="84">
        <v>160</v>
      </c>
      <c r="L163" s="84">
        <v>9</v>
      </c>
      <c r="N163" s="107">
        <f>AVERAGE($E157:$E163)*'Assumptions and Rations'!G$28+AVERAGE($F157:$F163)*'Assumptions and Rations'!G$31+AVERAGE($G157:$G163)*'Assumptions and Rations'!G$29+AVERAGE($I157:$I163)*'Assumptions and Rations'!G$30+'Prices and Spreads'!J$11</f>
        <v>149.94817078664911</v>
      </c>
      <c r="O163" s="107">
        <f>AVERAGE($E159:$E163)*'Assumptions and Rations'!H$28+AVERAGE($F159:$F163)*'Assumptions and Rations'!H$31+AVERAGE($G159:$G163)*'Assumptions and Rations'!H$29+AVERAGE($I159:$I163)*'Assumptions and Rations'!H$30+'Prices and Spreads'!K$11</f>
        <v>132.27485278935404</v>
      </c>
      <c r="P163" s="107">
        <f>N163*0.5*$L156/100*7/12+'Prices and Spreads'!J$15*'Prices and Spreads'!J$7+'Prices and Spreads'!J$14+'Prices and Spreads'!J$12+'Prices and Spreads'!J$13*'Historic Prices'!B156*'Prices and Spreads'!J$4/100</f>
        <v>145.73829909853416</v>
      </c>
      <c r="Q163" s="107">
        <f>O163*0.5*$L158/100*5/12+'Prices and Spreads'!K$15*'Prices and Spreads'!K$7+'Prices and Spreads'!K$14+'Prices and Spreads'!K$12+'Prices and Spreads'!K$13*'Historic Prices'!D158*'Prices and Spreads'!K$4/100</f>
        <v>118.77357015646704</v>
      </c>
    </row>
    <row r="164" spans="1:17" ht="15">
      <c r="A164" s="93">
        <v>37316</v>
      </c>
      <c r="B164" s="84">
        <v>98.4</v>
      </c>
      <c r="C164" s="84">
        <v>81</v>
      </c>
      <c r="D164" s="84">
        <v>72.85</v>
      </c>
      <c r="E164" s="84">
        <v>1.77</v>
      </c>
      <c r="F164" s="84">
        <f>2000/56*E164*'Cattle Returns'!C$5*'Cattle Returns'!C$4</f>
        <v>22.75714285714286</v>
      </c>
      <c r="G164" s="84">
        <v>60</v>
      </c>
      <c r="H164" s="84">
        <v>300</v>
      </c>
      <c r="I164" s="84">
        <f t="shared" si="2"/>
        <v>17.7</v>
      </c>
      <c r="J164" s="84">
        <v>296.15</v>
      </c>
      <c r="K164" s="84">
        <v>160</v>
      </c>
      <c r="L164" s="84">
        <v>9</v>
      </c>
      <c r="N164" s="107">
        <f>AVERAGE($E158:$E164)*'Assumptions and Rations'!G$28+AVERAGE($F158:$F164)*'Assumptions and Rations'!G$31+AVERAGE($G158:$G164)*'Assumptions and Rations'!G$29+AVERAGE($I158:$I164)*'Assumptions and Rations'!G$30+'Prices and Spreads'!J$11</f>
        <v>149.74896853166817</v>
      </c>
      <c r="O164" s="107">
        <f>AVERAGE($E160:$E164)*'Assumptions and Rations'!H$28+AVERAGE($F160:$F164)*'Assumptions and Rations'!H$31+AVERAGE($G160:$G164)*'Assumptions and Rations'!H$29+AVERAGE($I160:$I164)*'Assumptions and Rations'!H$30+'Prices and Spreads'!K$11</f>
        <v>133.656438598476</v>
      </c>
      <c r="P164" s="107">
        <f>N164*0.5*$L157/100*7/12+'Prices and Spreads'!J$15*'Prices and Spreads'!J$7+'Prices and Spreads'!J$14+'Prices and Spreads'!J$12+'Prices and Spreads'!J$13*'Historic Prices'!B157*'Prices and Spreads'!J$4/100</f>
        <v>145.4542200393409</v>
      </c>
      <c r="Q164" s="107">
        <f>O164*0.5*$L159/100*5/12+'Prices and Spreads'!K$15*'Prices and Spreads'!K$7+'Prices and Spreads'!K$14+'Prices and Spreads'!K$12+'Prices and Spreads'!K$13*'Historic Prices'!D159*'Prices and Spreads'!K$4/100</f>
        <v>118.64366239038809</v>
      </c>
    </row>
    <row r="165" spans="1:17" ht="15">
      <c r="A165" s="93">
        <v>37347</v>
      </c>
      <c r="B165" s="84">
        <v>96.06</v>
      </c>
      <c r="C165" s="84">
        <v>79.1</v>
      </c>
      <c r="D165" s="84">
        <v>68.88</v>
      </c>
      <c r="E165" s="84">
        <v>1.74</v>
      </c>
      <c r="F165" s="84">
        <f>2000/56*E165*'Cattle Returns'!C$5*'Cattle Returns'!C$4</f>
        <v>22.371428571428574</v>
      </c>
      <c r="G165" s="84">
        <v>60</v>
      </c>
      <c r="H165" s="84">
        <v>300</v>
      </c>
      <c r="I165" s="84">
        <f t="shared" si="2"/>
        <v>17.4</v>
      </c>
      <c r="J165" s="84">
        <v>299.8</v>
      </c>
      <c r="K165" s="84">
        <v>160</v>
      </c>
      <c r="L165" s="84">
        <v>9</v>
      </c>
      <c r="N165" s="107">
        <f>AVERAGE($E159:$E165)*'Assumptions and Rations'!G$28+AVERAGE($F159:$F165)*'Assumptions and Rations'!G$31+AVERAGE($G159:$G165)*'Assumptions and Rations'!G$29+AVERAGE($I159:$I165)*'Assumptions and Rations'!G$30+'Prices and Spreads'!J$11</f>
        <v>149.74896853166817</v>
      </c>
      <c r="O165" s="107">
        <f>AVERAGE($E161:$E165)*'Assumptions and Rations'!H$28+AVERAGE($F161:$F165)*'Assumptions and Rations'!H$31+AVERAGE($G161:$G165)*'Assumptions and Rations'!H$29+AVERAGE($I161:$I165)*'Assumptions and Rations'!H$30+'Prices and Spreads'!K$11</f>
        <v>133.656438598476</v>
      </c>
      <c r="P165" s="107">
        <f>N165*0.5*$L158/100*7/12+'Prices and Spreads'!J$15*'Prices and Spreads'!J$7+'Prices and Spreads'!J$14+'Prices and Spreads'!J$12+'Prices and Spreads'!J$13*'Historic Prices'!B158*'Prices and Spreads'!J$4/100</f>
        <v>145.48969503934092</v>
      </c>
      <c r="Q165" s="107">
        <f>O165*0.5*$L160/100*5/12+'Prices and Spreads'!K$15*'Prices and Spreads'!K$7+'Prices and Spreads'!K$14+'Prices and Spreads'!K$12+'Prices and Spreads'!K$13*'Historic Prices'!D160*'Prices and Spreads'!K$4/100</f>
        <v>118.52609989038808</v>
      </c>
    </row>
    <row r="166" spans="1:17" ht="15">
      <c r="A166" s="93">
        <v>37377</v>
      </c>
      <c r="B166" s="84">
        <v>92.67</v>
      </c>
      <c r="C166" s="84">
        <v>77.48</v>
      </c>
      <c r="D166" s="84">
        <v>66.5</v>
      </c>
      <c r="E166" s="84">
        <v>1.73</v>
      </c>
      <c r="F166" s="84">
        <f>2000/56*E166*'Cattle Returns'!C$5*'Cattle Returns'!C$4</f>
        <v>22.242857142857144</v>
      </c>
      <c r="G166" s="84">
        <v>60</v>
      </c>
      <c r="H166" s="84">
        <v>300</v>
      </c>
      <c r="I166" s="84">
        <f t="shared" si="2"/>
        <v>17.3</v>
      </c>
      <c r="J166" s="84">
        <v>304.4</v>
      </c>
      <c r="K166" s="84">
        <v>160</v>
      </c>
      <c r="L166" s="84">
        <v>9</v>
      </c>
      <c r="N166" s="107">
        <f>AVERAGE($E160:$E166)*'Assumptions and Rations'!G$28+AVERAGE($F160:$F166)*'Assumptions and Rations'!G$31+AVERAGE($G160:$G166)*'Assumptions and Rations'!G$29+AVERAGE($I160:$I166)*'Assumptions and Rations'!G$30+'Prices and Spreads'!J$11</f>
        <v>150.4461764241014</v>
      </c>
      <c r="O166" s="107">
        <f>AVERAGE($E162:$E166)*'Assumptions and Rations'!H$28+AVERAGE($F162:$F166)*'Assumptions and Rations'!H$31+AVERAGE($G162:$G166)*'Assumptions and Rations'!H$29+AVERAGE($I162:$I166)*'Assumptions and Rations'!H$30+'Prices and Spreads'!K$11</f>
        <v>132.40045149927423</v>
      </c>
      <c r="P166" s="107">
        <f>N166*0.5*$L159/100*7/12+'Prices and Spreads'!J$15*'Prices and Spreads'!J$7+'Prices and Spreads'!J$14+'Prices and Spreads'!J$12+'Prices and Spreads'!J$13*'Historic Prices'!B159*'Prices and Spreads'!J$4/100</f>
        <v>144.84552174651728</v>
      </c>
      <c r="Q166" s="107">
        <f>O166*0.5*$L161/100*5/12+'Prices and Spreads'!K$15*'Prices and Spreads'!K$7+'Prices and Spreads'!K$14+'Prices and Spreads'!K$12+'Prices and Spreads'!K$13*'Historic Prices'!D161*'Prices and Spreads'!K$4/100</f>
        <v>118.48680013227805</v>
      </c>
    </row>
    <row r="167" spans="1:17" ht="15">
      <c r="A167" s="93">
        <v>37408</v>
      </c>
      <c r="B167" s="84">
        <v>89.02</v>
      </c>
      <c r="C167" s="84">
        <v>77.56</v>
      </c>
      <c r="D167" s="84">
        <v>64.25</v>
      </c>
      <c r="E167" s="84">
        <v>1.81</v>
      </c>
      <c r="F167" s="84">
        <f>2000/56*E167*'Cattle Returns'!C$5*'Cattle Returns'!C$4</f>
        <v>23.271428571428576</v>
      </c>
      <c r="G167" s="84">
        <v>60</v>
      </c>
      <c r="H167" s="84">
        <v>300</v>
      </c>
      <c r="I167" s="84">
        <f t="shared" si="2"/>
        <v>18.1</v>
      </c>
      <c r="J167" s="84">
        <v>307.6</v>
      </c>
      <c r="K167" s="84">
        <v>160</v>
      </c>
      <c r="L167" s="84">
        <v>9</v>
      </c>
      <c r="N167" s="107">
        <f>AVERAGE($E161:$E167)*'Assumptions and Rations'!G$28+AVERAGE($F161:$F167)*'Assumptions and Rations'!G$31+AVERAGE($G161:$G167)*'Assumptions and Rations'!G$29+AVERAGE($I161:$I167)*'Assumptions and Rations'!G$30+'Prices and Spreads'!J$11</f>
        <v>151.14338431653462</v>
      </c>
      <c r="O167" s="107">
        <f>AVERAGE($E163:$E167)*'Assumptions and Rations'!H$28+AVERAGE($F163:$F167)*'Assumptions and Rations'!H$31+AVERAGE($G163:$G167)*'Assumptions and Rations'!H$29+AVERAGE($I163:$I167)*'Assumptions and Rations'!H$30+'Prices and Spreads'!K$11</f>
        <v>132.5260502091944</v>
      </c>
      <c r="P167" s="107">
        <f>N167*0.5*$L160/100*7/12+'Prices and Spreads'!J$15*'Prices and Spreads'!J$7+'Prices and Spreads'!J$14+'Prices and Spreads'!J$12+'Prices and Spreads'!J$13*'Historic Prices'!B160*'Prices and Spreads'!J$4/100</f>
        <v>144.98922345369363</v>
      </c>
      <c r="Q167" s="107">
        <f>O167*0.5*$L162/100*5/12+'Prices and Spreads'!K$15*'Prices and Spreads'!K$7+'Prices and Spreads'!K$14+'Prices and Spreads'!K$12+'Prices and Spreads'!K$13*'Historic Prices'!D162*'Prices and Spreads'!K$4/100</f>
        <v>118.69728010808905</v>
      </c>
    </row>
    <row r="168" spans="1:17" ht="15">
      <c r="A168" s="93">
        <v>37438</v>
      </c>
      <c r="B168" s="84">
        <v>86.7</v>
      </c>
      <c r="C168" s="84">
        <v>78.97</v>
      </c>
      <c r="D168" s="84">
        <v>62.48</v>
      </c>
      <c r="E168" s="84">
        <v>1.99</v>
      </c>
      <c r="F168" s="84">
        <f>2000/56*E168*'Cattle Returns'!C$5*'Cattle Returns'!C$4</f>
        <v>25.58571428571429</v>
      </c>
      <c r="G168" s="84">
        <v>60</v>
      </c>
      <c r="H168" s="84">
        <v>300</v>
      </c>
      <c r="I168" s="84">
        <f t="shared" si="2"/>
        <v>19.9</v>
      </c>
      <c r="J168" s="84">
        <v>326.44</v>
      </c>
      <c r="K168" s="84">
        <v>160</v>
      </c>
      <c r="L168" s="84">
        <v>9</v>
      </c>
      <c r="N168" s="107">
        <f>AVERAGE($E162:$E168)*'Assumptions and Rations'!G$28+AVERAGE($F162:$F168)*'Assumptions and Rations'!G$31+AVERAGE($G162:$G168)*'Assumptions and Rations'!G$29+AVERAGE($I162:$I168)*'Assumptions and Rations'!G$30+'Prices and Spreads'!J$11</f>
        <v>152.73700235638205</v>
      </c>
      <c r="O168" s="107">
        <f>AVERAGE($E164:$E168)*'Assumptions and Rations'!H$28+AVERAGE($F164:$F168)*'Assumptions and Rations'!H$31+AVERAGE($G164:$G168)*'Assumptions and Rations'!H$29+AVERAGE($I164:$I168)*'Assumptions and Rations'!H$30+'Prices and Spreads'!K$11</f>
        <v>135.1636231175181</v>
      </c>
      <c r="P168" s="107">
        <f>N168*0.5*$L161/100*7/12+'Prices and Spreads'!J$15*'Prices and Spreads'!J$7+'Prices and Spreads'!J$14+'Prices and Spreads'!J$12+'Prices and Spreads'!J$13*'Historic Prices'!B161*'Prices and Spreads'!J$4/100</f>
        <v>145.32970592723964</v>
      </c>
      <c r="Q168" s="107">
        <f>O168*0.5*$L163/100*5/12+'Prices and Spreads'!K$15*'Prices and Spreads'!K$7+'Prices and Spreads'!K$14+'Prices and Spreads'!K$12+'Prices and Spreads'!K$13*'Historic Prices'!D163*'Prices and Spreads'!K$4/100</f>
        <v>118.93967210012012</v>
      </c>
    </row>
    <row r="169" spans="1:17" ht="15">
      <c r="A169" s="93">
        <v>37469</v>
      </c>
      <c r="B169" s="84">
        <v>86.62</v>
      </c>
      <c r="C169" s="84">
        <v>79.98</v>
      </c>
      <c r="D169" s="84">
        <v>63.38</v>
      </c>
      <c r="E169" s="84">
        <v>2.39</v>
      </c>
      <c r="F169" s="84">
        <f>2000/56*E169*'Cattle Returns'!C$5*'Cattle Returns'!C$4</f>
        <v>30.728571428571435</v>
      </c>
      <c r="G169" s="84">
        <v>60</v>
      </c>
      <c r="H169" s="84">
        <v>300</v>
      </c>
      <c r="I169" s="84">
        <f t="shared" si="2"/>
        <v>23.900000000000002</v>
      </c>
      <c r="J169" s="84">
        <v>322.35</v>
      </c>
      <c r="K169" s="84">
        <v>160</v>
      </c>
      <c r="L169" s="84">
        <v>9</v>
      </c>
      <c r="N169" s="107">
        <f>AVERAGE($E163:$E169)*'Assumptions and Rations'!G$28+AVERAGE($F163:$F169)*'Assumptions and Rations'!G$31+AVERAGE($G163:$G169)*'Assumptions and Rations'!G$29+AVERAGE($I163:$I169)*'Assumptions and Rations'!G$30+'Prices and Spreads'!J$11</f>
        <v>158.61346887831937</v>
      </c>
      <c r="O169" s="107">
        <f>AVERAGE($E165:$E169)*'Assumptions and Rations'!H$28+AVERAGE($F165:$F169)*'Assumptions and Rations'!H$31+AVERAGE($G165:$G169)*'Assumptions and Rations'!H$29+AVERAGE($I165:$I169)*'Assumptions and Rations'!H$30+'Prices and Spreads'!K$11</f>
        <v>142.95074313256907</v>
      </c>
      <c r="P169" s="107">
        <f>N169*0.5*$L162/100*7/12+'Prices and Spreads'!J$15*'Prices and Spreads'!J$7+'Prices and Spreads'!J$14+'Prices and Spreads'!J$12+'Prices and Spreads'!J$13*'Historic Prices'!B162*'Prices and Spreads'!J$4/100</f>
        <v>145.30906317344048</v>
      </c>
      <c r="Q169" s="107">
        <f>O169*0.5*$L164/100*5/12+'Prices and Spreads'!K$15*'Prices and Spreads'!K$7+'Prices and Spreads'!K$14+'Prices and Spreads'!K$12+'Prices and Spreads'!K$13*'Historic Prices'!D164*'Prices and Spreads'!K$4/100</f>
        <v>119.19480560040233</v>
      </c>
    </row>
    <row r="170" spans="1:17" ht="15">
      <c r="A170" s="93">
        <v>37500</v>
      </c>
      <c r="B170" s="84">
        <v>85.64</v>
      </c>
      <c r="C170" s="84">
        <v>81.45</v>
      </c>
      <c r="D170" s="84">
        <v>63.99</v>
      </c>
      <c r="E170" s="84">
        <v>2.54</v>
      </c>
      <c r="F170" s="84">
        <f>2000/56*E170*'Cattle Returns'!C$5*'Cattle Returns'!C$4</f>
        <v>32.657142857142865</v>
      </c>
      <c r="G170" s="84">
        <v>60</v>
      </c>
      <c r="H170" s="84">
        <v>300</v>
      </c>
      <c r="I170" s="84">
        <f t="shared" si="2"/>
        <v>25.4</v>
      </c>
      <c r="J170" s="84">
        <v>320.65</v>
      </c>
      <c r="K170" s="84">
        <v>160</v>
      </c>
      <c r="L170" s="84">
        <v>9</v>
      </c>
      <c r="N170" s="107">
        <f>AVERAGE($E164:$E170)*'Assumptions and Rations'!G$28+AVERAGE($F164:$F170)*'Assumptions and Rations'!G$31+AVERAGE($G164:$G170)*'Assumptions and Rations'!G$29+AVERAGE($I164:$I170)*'Assumptions and Rations'!G$30+'Prices and Spreads'!J$11</f>
        <v>166.18315456759456</v>
      </c>
      <c r="O170" s="107">
        <f>AVERAGE($E166:$E170)*'Assumptions and Rations'!H$28+AVERAGE($F166:$F170)*'Assumptions and Rations'!H$31+AVERAGE($G166:$G170)*'Assumptions and Rations'!H$29+AVERAGE($I166:$I170)*'Assumptions and Rations'!H$30+'Prices and Spreads'!K$11</f>
        <v>152.99863992618322</v>
      </c>
      <c r="P170" s="107">
        <f>N170*0.5*$L163/100*7/12+'Prices and Spreads'!J$15*'Prices and Spreads'!J$7+'Prices and Spreads'!J$14+'Prices and Spreads'!J$12+'Prices and Spreads'!J$13*'Historic Prices'!B163*'Prices and Spreads'!J$4/100</f>
        <v>145.71401742278397</v>
      </c>
      <c r="Q170" s="107">
        <f>O170*0.5*$L165/100*5/12+'Prices and Spreads'!K$15*'Prices and Spreads'!K$7+'Prices and Spreads'!K$14+'Prices and Spreads'!K$12+'Prices and Spreads'!K$13*'Historic Prices'!D165*'Prices and Spreads'!K$4/100</f>
        <v>119.15989116528259</v>
      </c>
    </row>
    <row r="171" spans="1:17" ht="15">
      <c r="A171" s="93">
        <v>37530</v>
      </c>
      <c r="B171" s="84">
        <v>86.26</v>
      </c>
      <c r="C171" s="84">
        <v>82.38</v>
      </c>
      <c r="D171" s="84">
        <v>64.17</v>
      </c>
      <c r="E171" s="84">
        <v>2.24</v>
      </c>
      <c r="F171" s="84">
        <f>2000/56*E171*'Cattle Returns'!C$5*'Cattle Returns'!C$4</f>
        <v>28.800000000000008</v>
      </c>
      <c r="G171" s="84">
        <v>60</v>
      </c>
      <c r="H171" s="84">
        <v>300</v>
      </c>
      <c r="I171" s="84">
        <f t="shared" si="2"/>
        <v>22.400000000000002</v>
      </c>
      <c r="J171" s="84">
        <v>305.8</v>
      </c>
      <c r="K171" s="84">
        <v>160</v>
      </c>
      <c r="L171" s="84">
        <v>9</v>
      </c>
      <c r="N171" s="107">
        <f>AVERAGE($E165:$E171)*'Assumptions and Rations'!G$28+AVERAGE($F165:$F171)*'Assumptions and Rations'!G$31+AVERAGE($G165:$G171)*'Assumptions and Rations'!G$29+AVERAGE($I165:$I171)*'Assumptions and Rations'!G$30+'Prices and Spreads'!J$11</f>
        <v>170.86440755964628</v>
      </c>
      <c r="O171" s="107">
        <f>AVERAGE($E167:$E171)*'Assumptions and Rations'!H$28+AVERAGE($F167:$F171)*'Assumptions and Rations'!H$31+AVERAGE($G167:$G171)*'Assumptions and Rations'!H$29+AVERAGE($I167:$I171)*'Assumptions and Rations'!H$30+'Prices and Spreads'!K$11</f>
        <v>159.4041741321122</v>
      </c>
      <c r="P171" s="107">
        <f>N171*0.5*$L164/100*7/12+'Prices and Spreads'!J$15*'Prices and Spreads'!J$7+'Prices and Spreads'!J$14+'Prices and Spreads'!J$12+'Prices and Spreads'!J$13*'Historic Prices'!B164*'Prices and Spreads'!J$4/100</f>
        <v>145.91857531382533</v>
      </c>
      <c r="Q171" s="107">
        <f>O171*0.5*$L166/100*5/12+'Prices and Spreads'!K$15*'Prices and Spreads'!K$7+'Prices and Spreads'!K$14+'Prices and Spreads'!K$12+'Prices and Spreads'!K$13*'Historic Prices'!D166*'Prices and Spreads'!K$4/100</f>
        <v>119.14611993164375</v>
      </c>
    </row>
    <row r="172" spans="1:17" ht="15">
      <c r="A172" s="93">
        <v>37561</v>
      </c>
      <c r="B172" s="84">
        <v>90.45</v>
      </c>
      <c r="C172" s="84">
        <v>84.24</v>
      </c>
      <c r="D172" s="84">
        <v>69.28</v>
      </c>
      <c r="E172" s="84">
        <v>2.14</v>
      </c>
      <c r="F172" s="84">
        <f>2000/56*E172*'Cattle Returns'!C$5*'Cattle Returns'!C$4</f>
        <v>27.51428571428572</v>
      </c>
      <c r="G172" s="84">
        <v>60</v>
      </c>
      <c r="H172" s="84">
        <v>300</v>
      </c>
      <c r="I172" s="84">
        <f t="shared" si="2"/>
        <v>21.400000000000002</v>
      </c>
      <c r="J172" s="84">
        <v>305.8</v>
      </c>
      <c r="K172" s="84">
        <v>160</v>
      </c>
      <c r="L172" s="84">
        <v>9</v>
      </c>
      <c r="N172" s="107">
        <f>AVERAGE($E166:$E172)*'Assumptions and Rations'!G$28+AVERAGE($F166:$F172)*'Assumptions and Rations'!G$31+AVERAGE($G166:$G172)*'Assumptions and Rations'!G$29+AVERAGE($I166:$I172)*'Assumptions and Rations'!G$30+'Prices and Spreads'!J$11</f>
        <v>174.84845265926478</v>
      </c>
      <c r="O172" s="107">
        <f>AVERAGE($E168:$E172)*'Assumptions and Rations'!H$28+AVERAGE($F168:$F172)*'Assumptions and Rations'!H$31+AVERAGE($G168:$G172)*'Assumptions and Rations'!H$29+AVERAGE($I168:$I172)*'Assumptions and Rations'!H$30+'Prices and Spreads'!K$11</f>
        <v>163.54893155947804</v>
      </c>
      <c r="P172" s="107">
        <f>N172*0.5*$L165/100*7/12+'Prices and Spreads'!J$15*'Prices and Spreads'!J$7+'Prices and Spreads'!J$14+'Prices and Spreads'!J$12+'Prices and Spreads'!J$13*'Historic Prices'!B165*'Prices and Spreads'!J$4/100</f>
        <v>145.8301064976903</v>
      </c>
      <c r="Q172" s="107">
        <f>O172*0.5*$L167/100*5/12+'Prices and Spreads'!K$15*'Prices and Spreads'!K$7+'Prices and Spreads'!K$14+'Prices and Spreads'!K$12+'Prices and Spreads'!K$13*'Historic Prices'!D167*'Prices and Spreads'!K$4/100</f>
        <v>119.09727163340688</v>
      </c>
    </row>
    <row r="173" spans="1:17" ht="15">
      <c r="A173" s="93">
        <v>37591</v>
      </c>
      <c r="B173" s="84">
        <v>92.26</v>
      </c>
      <c r="C173" s="84">
        <v>86.4</v>
      </c>
      <c r="D173" s="84">
        <v>70.91</v>
      </c>
      <c r="E173" s="84">
        <v>2.13</v>
      </c>
      <c r="F173" s="84">
        <f>2000/56*E173*'Cattle Returns'!C$5*'Cattle Returns'!C$4</f>
        <v>27.385714285714286</v>
      </c>
      <c r="G173" s="84">
        <v>60</v>
      </c>
      <c r="H173" s="84">
        <v>300</v>
      </c>
      <c r="I173" s="84">
        <f t="shared" si="2"/>
        <v>21.299999999999997</v>
      </c>
      <c r="J173" s="84">
        <v>301.03</v>
      </c>
      <c r="K173" s="84">
        <v>160</v>
      </c>
      <c r="L173" s="84">
        <v>9</v>
      </c>
      <c r="N173" s="107">
        <f>AVERAGE($E167:$E173)*'Assumptions and Rations'!G$28+AVERAGE($F167:$F173)*'Assumptions and Rations'!G$31+AVERAGE($G167:$G173)*'Assumptions and Rations'!G$29+AVERAGE($I167:$I173)*'Assumptions and Rations'!G$30+'Prices and Spreads'!J$11</f>
        <v>178.8324977588833</v>
      </c>
      <c r="O173" s="107">
        <f>AVERAGE($E169:$E173)*'Assumptions and Rations'!H$28+AVERAGE($F169:$F173)*'Assumptions and Rations'!H$31+AVERAGE($G169:$G173)*'Assumptions and Rations'!H$29+AVERAGE($I169:$I173)*'Assumptions and Rations'!H$30+'Prices and Spreads'!K$11</f>
        <v>165.30731349836051</v>
      </c>
      <c r="P173" s="107">
        <f>N173*0.5*$L166/100*7/12+'Prices and Spreads'!J$15*'Prices and Spreads'!J$7+'Prices and Spreads'!J$14+'Prices and Spreads'!J$12+'Prices and Spreads'!J$13*'Historic Prices'!B166*'Prices and Spreads'!J$4/100</f>
        <v>145.6550126815553</v>
      </c>
      <c r="Q173" s="107">
        <f>O173*0.5*$L168/100*5/12+'Prices and Spreads'!K$15*'Prices and Spreads'!K$7+'Prices and Spreads'!K$14+'Prices and Spreads'!K$12+'Prices and Spreads'!K$13*'Historic Prices'!D168*'Prices and Spreads'!K$4/100</f>
        <v>119.03067879476092</v>
      </c>
    </row>
    <row r="174" spans="1:17" ht="15">
      <c r="A174" s="93">
        <v>37622</v>
      </c>
      <c r="B174" s="84">
        <v>93.78</v>
      </c>
      <c r="C174" s="84">
        <v>82.03</v>
      </c>
      <c r="D174" s="84">
        <v>76.62</v>
      </c>
      <c r="E174" s="84">
        <v>2.08</v>
      </c>
      <c r="F174" s="84">
        <f>2000/56*E174*'Cattle Returns'!C$5*'Cattle Returns'!C$4</f>
        <v>26.742857142857147</v>
      </c>
      <c r="G174" s="84">
        <v>60</v>
      </c>
      <c r="H174" s="84">
        <v>300</v>
      </c>
      <c r="I174" s="84">
        <f t="shared" si="2"/>
        <v>20.8</v>
      </c>
      <c r="J174" s="84">
        <v>304.12</v>
      </c>
      <c r="K174" s="84">
        <v>160</v>
      </c>
      <c r="L174" s="84">
        <v>5.5</v>
      </c>
      <c r="N174" s="107">
        <f>AVERAGE($E168:$E174)*'Assumptions and Rations'!G$28+AVERAGE($F168:$F174)*'Assumptions and Rations'!G$31+AVERAGE($G168:$G174)*'Assumptions and Rations'!G$29+AVERAGE($I168:$I174)*'Assumptions and Rations'!G$30+'Prices and Spreads'!J$11</f>
        <v>181.52172820112577</v>
      </c>
      <c r="O174" s="107">
        <f>AVERAGE($E170:$E174)*'Assumptions and Rations'!H$28+AVERAGE($F170:$F174)*'Assumptions and Rations'!H$31+AVERAGE($G170:$G174)*'Assumptions and Rations'!H$29+AVERAGE($I170:$I174)*'Assumptions and Rations'!H$30+'Prices and Spreads'!K$11</f>
        <v>161.413753490835</v>
      </c>
      <c r="P174" s="107">
        <f>N174*0.5*$L167/100*7/12+'Prices and Spreads'!J$15*'Prices and Spreads'!J$7+'Prices and Spreads'!J$14+'Prices and Spreads'!J$12+'Prices and Spreads'!J$13*'Historic Prices'!B167*'Prices and Spreads'!J$4/100</f>
        <v>145.4244799806642</v>
      </c>
      <c r="Q174" s="107">
        <f>O174*0.5*$L169/100*5/12+'Prices and Spreads'!K$15*'Prices and Spreads'!K$7+'Prices and Spreads'!K$14+'Prices and Spreads'!K$12+'Prices and Spreads'!K$13*'Historic Prices'!D169*'Prices and Spreads'!K$4/100</f>
        <v>119.0082995446198</v>
      </c>
    </row>
    <row r="175" spans="1:17" ht="15">
      <c r="A175" s="93">
        <v>37653</v>
      </c>
      <c r="B175" s="84">
        <v>94.12</v>
      </c>
      <c r="C175" s="84">
        <v>78.93</v>
      </c>
      <c r="D175" s="84">
        <v>76.73</v>
      </c>
      <c r="E175" s="84">
        <v>2.21</v>
      </c>
      <c r="F175" s="84">
        <f>2000/56*E175*'Cattle Returns'!C$5*'Cattle Returns'!C$4</f>
        <v>28.414285714285718</v>
      </c>
      <c r="G175" s="84">
        <v>60</v>
      </c>
      <c r="H175" s="84">
        <v>300</v>
      </c>
      <c r="I175" s="84">
        <f t="shared" si="2"/>
        <v>22.1</v>
      </c>
      <c r="J175" s="84">
        <v>312.55</v>
      </c>
      <c r="K175" s="84">
        <v>160</v>
      </c>
      <c r="L175" s="84">
        <v>5.5</v>
      </c>
      <c r="N175" s="107">
        <f>AVERAGE($E169:$E175)*'Assumptions and Rations'!G$28+AVERAGE($F169:$F175)*'Assumptions and Rations'!G$31+AVERAGE($G169:$G175)*'Assumptions and Rations'!G$29+AVERAGE($I169:$I175)*'Assumptions and Rations'!G$30+'Prices and Spreads'!J$11</f>
        <v>183.71295300591598</v>
      </c>
      <c r="O175" s="107">
        <f>AVERAGE($E171:$E175)*'Assumptions and Rations'!H$28+AVERAGE($F171:$F175)*'Assumptions and Rations'!H$31+AVERAGE($G171:$G175)*'Assumptions and Rations'!H$29+AVERAGE($I171:$I175)*'Assumptions and Rations'!H$30+'Prices and Spreads'!K$11</f>
        <v>157.26899606346922</v>
      </c>
      <c r="P175" s="107">
        <f>N175*0.5*$L168/100*7/12+'Prices and Spreads'!J$15*'Prices and Spreads'!J$7+'Prices and Spreads'!J$14+'Prices and Spreads'!J$12+'Prices and Spreads'!J$13*'Historic Prices'!B168*'Prices and Spreads'!J$4/100</f>
        <v>145.2905996317899</v>
      </c>
      <c r="Q175" s="107">
        <f>O175*0.5*$L170/100*5/12+'Prices and Spreads'!K$15*'Prices and Spreads'!K$7+'Prices and Spreads'!K$14+'Prices and Spreads'!K$12+'Prices and Spreads'!K$13*'Historic Prices'!D170*'Prices and Spreads'!K$4/100</f>
        <v>118.9648978428567</v>
      </c>
    </row>
    <row r="176" spans="1:17" ht="15">
      <c r="A176" s="93">
        <v>37681</v>
      </c>
      <c r="B176" s="84">
        <v>95.56</v>
      </c>
      <c r="C176" s="84">
        <v>77.89</v>
      </c>
      <c r="D176" s="84">
        <v>76.76</v>
      </c>
      <c r="E176" s="84">
        <v>2.16</v>
      </c>
      <c r="F176" s="84">
        <f>2000/56*E176*'Cattle Returns'!C$5*'Cattle Returns'!C$4</f>
        <v>27.77142857142858</v>
      </c>
      <c r="G176" s="84">
        <v>60</v>
      </c>
      <c r="H176" s="84">
        <v>300</v>
      </c>
      <c r="I176" s="84">
        <f t="shared" si="2"/>
        <v>21.6</v>
      </c>
      <c r="J176" s="84">
        <v>311.05</v>
      </c>
      <c r="K176" s="84">
        <v>160</v>
      </c>
      <c r="L176" s="84">
        <v>5.5</v>
      </c>
      <c r="N176" s="107">
        <f>AVERAGE($E170:$E176)*'Assumptions and Rations'!G$28+AVERAGE($F170:$F176)*'Assumptions and Rations'!G$31+AVERAGE($G170:$G176)*'Assumptions and Rations'!G$29+AVERAGE($I170:$I176)*'Assumptions and Rations'!G$30+'Prices and Spreads'!J$11</f>
        <v>181.4221270736353</v>
      </c>
      <c r="O176" s="107">
        <f>AVERAGE($E172:$E176)*'Assumptions and Rations'!H$28+AVERAGE($F172:$F176)*'Assumptions and Rations'!H$31+AVERAGE($G172:$G176)*'Assumptions and Rations'!H$29+AVERAGE($I172:$I176)*'Assumptions and Rations'!H$30+'Prices and Spreads'!K$11</f>
        <v>156.26420638410778</v>
      </c>
      <c r="P176" s="107">
        <f>N176*0.5*$L169/100*7/12+'Prices and Spreads'!J$15*'Prices and Spreads'!J$7+'Prices and Spreads'!J$14+'Prices and Spreads'!J$12+'Prices and Spreads'!J$13*'Historic Prices'!B169*'Prices and Spreads'!J$4/100</f>
        <v>145.22386545106755</v>
      </c>
      <c r="Q176" s="107">
        <f>O176*0.5*$L171/100*5/12+'Prices and Spreads'!K$15*'Prices and Spreads'!K$7+'Prices and Spreads'!K$14+'Prices and Spreads'!K$12+'Prices and Spreads'!K$13*'Historic Prices'!D171*'Prices and Spreads'!K$4/100</f>
        <v>118.95618303636867</v>
      </c>
    </row>
    <row r="177" spans="1:17" ht="15">
      <c r="A177" s="93">
        <v>37712</v>
      </c>
      <c r="B177" s="84">
        <v>97.18</v>
      </c>
      <c r="C177" s="84">
        <v>81.02</v>
      </c>
      <c r="D177" s="84">
        <v>78.88</v>
      </c>
      <c r="E177" s="84">
        <v>2.24</v>
      </c>
      <c r="F177" s="84">
        <f>2000/56*E177*'Cattle Returns'!C$5*'Cattle Returns'!C$4</f>
        <v>28.800000000000008</v>
      </c>
      <c r="G177" s="84">
        <v>60</v>
      </c>
      <c r="H177" s="84">
        <v>300</v>
      </c>
      <c r="I177" s="84">
        <f t="shared" si="2"/>
        <v>22.400000000000002</v>
      </c>
      <c r="J177" s="84">
        <v>319.04</v>
      </c>
      <c r="K177" s="84">
        <v>160</v>
      </c>
      <c r="L177" s="84">
        <v>5.5</v>
      </c>
      <c r="N177" s="107">
        <f>AVERAGE($E171:$E177)*'Assumptions and Rations'!G$28+AVERAGE($F171:$F177)*'Assumptions and Rations'!G$31+AVERAGE($G171:$G177)*'Assumptions and Rations'!G$29+AVERAGE($I171:$I177)*'Assumptions and Rations'!G$30+'Prices and Spreads'!J$11</f>
        <v>178.43409324892144</v>
      </c>
      <c r="O177" s="107">
        <f>AVERAGE($E173:$E177)*'Assumptions and Rations'!H$28+AVERAGE($F173:$F177)*'Assumptions and Rations'!H$31+AVERAGE($G173:$G177)*'Assumptions and Rations'!H$29+AVERAGE($I173:$I177)*'Assumptions and Rations'!H$30+'Prices and Spreads'!K$11</f>
        <v>157.52019348330955</v>
      </c>
      <c r="P177" s="107">
        <f>N177*0.5*$L170/100*7/12+'Prices and Spreads'!J$15*'Prices and Spreads'!J$7+'Prices and Spreads'!J$14+'Prices and Spreads'!J$12+'Prices and Spreads'!J$13*'Historic Prices'!B170*'Prices and Spreads'!J$4/100</f>
        <v>145.0645795631688</v>
      </c>
      <c r="Q177" s="107">
        <f>O177*0.5*$L172/100*5/12+'Prices and Spreads'!K$15*'Prices and Spreads'!K$7+'Prices and Spreads'!K$14+'Prices and Spreads'!K$12+'Prices and Spreads'!K$13*'Historic Prices'!D172*'Prices and Spreads'!K$4/100</f>
        <v>119.26717029447872</v>
      </c>
    </row>
    <row r="178" spans="1:17" ht="15">
      <c r="A178" s="93">
        <v>37742</v>
      </c>
      <c r="B178" s="84">
        <v>97.1225</v>
      </c>
      <c r="C178" s="84">
        <v>83.16625</v>
      </c>
      <c r="D178" s="84">
        <v>79.01</v>
      </c>
      <c r="E178" s="84">
        <v>2.32</v>
      </c>
      <c r="F178" s="84">
        <f>2000/56*E178*'Cattle Returns'!C$5*'Cattle Returns'!C$4</f>
        <v>29.82857142857143</v>
      </c>
      <c r="G178" s="84">
        <v>60</v>
      </c>
      <c r="H178" s="84">
        <v>300</v>
      </c>
      <c r="I178" s="84">
        <f t="shared" si="2"/>
        <v>23.2</v>
      </c>
      <c r="J178" s="84">
        <v>327.6</v>
      </c>
      <c r="K178" s="84">
        <v>160</v>
      </c>
      <c r="L178" s="84">
        <v>5.5</v>
      </c>
      <c r="N178" s="107">
        <f>AVERAGE($E172:$E178)*'Assumptions and Rations'!G$28+AVERAGE($F172:$F178)*'Assumptions and Rations'!G$31+AVERAGE($G172:$G178)*'Assumptions and Rations'!G$29+AVERAGE($I172:$I178)*'Assumptions and Rations'!G$30+'Prices and Spreads'!J$11</f>
        <v>179.23090226884514</v>
      </c>
      <c r="O178" s="107">
        <f>AVERAGE($E174:$E178)*'Assumptions and Rations'!H$28+AVERAGE($F174:$F178)*'Assumptions and Rations'!H$31+AVERAGE($G174:$G178)*'Assumptions and Rations'!H$29+AVERAGE($I174:$I178)*'Assumptions and Rations'!H$30+'Prices and Spreads'!K$11</f>
        <v>159.90656897179292</v>
      </c>
      <c r="P178" s="107">
        <f>N178*0.5*$L171/100*7/12+'Prices and Spreads'!J$15*'Prices and Spreads'!J$7+'Prices and Spreads'!J$14+'Prices and Spreads'!J$12+'Prices and Spreads'!J$13*'Historic Prices'!B171*'Prices and Spreads'!J$4/100</f>
        <v>145.1366457999418</v>
      </c>
      <c r="Q178" s="107">
        <f>O178*0.5*$L173/100*5/12+'Prices and Spreads'!K$15*'Prices and Spreads'!K$7+'Prices and Spreads'!K$14+'Prices and Spreads'!K$12+'Prices and Spreads'!K$13*'Historic Prices'!D173*'Prices and Spreads'!K$4/100</f>
        <v>119.40360233488778</v>
      </c>
    </row>
    <row r="179" spans="1:17" ht="15">
      <c r="A179" s="93">
        <v>37773</v>
      </c>
      <c r="B179" s="84">
        <v>99.565</v>
      </c>
      <c r="C179" s="84">
        <v>88.0075</v>
      </c>
      <c r="D179" s="84">
        <v>75.4</v>
      </c>
      <c r="E179" s="84">
        <v>2.23</v>
      </c>
      <c r="F179" s="84">
        <f>2000/56*E179*'Cattle Returns'!C$5*'Cattle Returns'!C$4</f>
        <v>28.671428571428574</v>
      </c>
      <c r="G179" s="84">
        <v>60</v>
      </c>
      <c r="H179" s="84">
        <v>300</v>
      </c>
      <c r="I179" s="84">
        <f t="shared" si="2"/>
        <v>22.3</v>
      </c>
      <c r="J179" s="84">
        <v>325.91</v>
      </c>
      <c r="K179" s="84">
        <v>160</v>
      </c>
      <c r="L179" s="84">
        <v>5.5</v>
      </c>
      <c r="N179" s="107">
        <f>AVERAGE($E173:$E179)*'Assumptions and Rations'!G$28+AVERAGE($F173:$F179)*'Assumptions and Rations'!G$31+AVERAGE($G173:$G179)*'Assumptions and Rations'!G$29+AVERAGE($I173:$I179)*'Assumptions and Rations'!G$30+'Prices and Spreads'!J$11</f>
        <v>180.1273124162593</v>
      </c>
      <c r="O179" s="107">
        <f>AVERAGE($E175:$E179)*'Assumptions and Rations'!H$28+AVERAGE($F175:$F179)*'Assumptions and Rations'!H$31+AVERAGE($G175:$G179)*'Assumptions and Rations'!H$29+AVERAGE($I175:$I179)*'Assumptions and Rations'!H$30+'Prices and Spreads'!K$11</f>
        <v>161.79054962059556</v>
      </c>
      <c r="P179" s="107">
        <f>N179*0.5*$L172/100*7/12+'Prices and Spreads'!J$15*'Prices and Spreads'!J$7+'Prices and Spreads'!J$14+'Prices and Spreads'!J$12+'Prices and Spreads'!J$13*'Historic Prices'!B172*'Prices and Spreads'!J$4/100</f>
        <v>145.5058515663114</v>
      </c>
      <c r="Q179" s="107">
        <f>O179*0.5*$L174/100*5/12+'Prices and Spreads'!K$15*'Prices and Spreads'!K$7+'Prices and Spreads'!K$14+'Prices and Spreads'!K$12+'Prices and Spreads'!K$13*'Historic Prices'!D174*'Prices and Spreads'!K$4/100</f>
        <v>118.58039171440265</v>
      </c>
    </row>
    <row r="180" spans="1:17" ht="15">
      <c r="A180" s="93">
        <v>37803</v>
      </c>
      <c r="B180" s="84">
        <v>101.23</v>
      </c>
      <c r="C180" s="84">
        <v>91.32</v>
      </c>
      <c r="D180" s="84">
        <v>76.67</v>
      </c>
      <c r="E180" s="84">
        <v>1.93</v>
      </c>
      <c r="F180" s="84">
        <f>2000/56*E180*'Cattle Returns'!C$5*'Cattle Returns'!C$4</f>
        <v>24.814285714285717</v>
      </c>
      <c r="G180" s="84">
        <v>60</v>
      </c>
      <c r="H180" s="84">
        <v>300</v>
      </c>
      <c r="I180" s="84">
        <f t="shared" si="2"/>
        <v>19.3</v>
      </c>
      <c r="J180" s="84">
        <v>322.73</v>
      </c>
      <c r="K180" s="84">
        <v>160</v>
      </c>
      <c r="L180" s="84">
        <v>5.5</v>
      </c>
      <c r="N180" s="107">
        <f>AVERAGE($E174:$E180)*'Assumptions and Rations'!G$28+AVERAGE($F174:$F180)*'Assumptions and Rations'!G$31+AVERAGE($G174:$G180)*'Assumptions and Rations'!G$29+AVERAGE($I174:$I180)*'Assumptions and Rations'!G$30+'Prices and Spreads'!J$11</f>
        <v>178.13528986645005</v>
      </c>
      <c r="O180" s="107">
        <f>AVERAGE($E176:$E180)*'Assumptions and Rations'!H$28+AVERAGE($F176:$F180)*'Assumptions and Rations'!H$31+AVERAGE($G176:$G180)*'Assumptions and Rations'!H$29+AVERAGE($I176:$I180)*'Assumptions and Rations'!H$30+'Prices and Spreads'!K$11</f>
        <v>158.2737857428306</v>
      </c>
      <c r="P180" s="107">
        <f>N180*0.5*$L173/100*7/12+'Prices and Spreads'!J$15*'Prices and Spreads'!J$7+'Prices and Spreads'!J$14+'Prices and Spreads'!J$12+'Prices and Spreads'!J$13*'Historic Prices'!B173*'Prices and Spreads'!J$4/100</f>
        <v>145.60288597437892</v>
      </c>
      <c r="Q180" s="107">
        <f>O180*0.5*$L175/100*5/12+'Prices and Spreads'!K$15*'Prices and Spreads'!K$7+'Prices and Spreads'!K$14+'Prices and Spreads'!K$12+'Prices and Spreads'!K$13*'Historic Prices'!D175*'Prices and Spreads'!K$4/100</f>
        <v>118.54628296163659</v>
      </c>
    </row>
    <row r="181" spans="1:17" ht="15">
      <c r="A181" s="93">
        <v>37834</v>
      </c>
      <c r="B181" s="84">
        <v>100.245</v>
      </c>
      <c r="C181" s="84">
        <v>95.98375</v>
      </c>
      <c r="D181" s="84">
        <v>80.36</v>
      </c>
      <c r="E181" s="84">
        <v>1.98</v>
      </c>
      <c r="F181" s="84">
        <f>2000/56*E181*'Cattle Returns'!C$5*'Cattle Returns'!C$4</f>
        <v>25.457142857142863</v>
      </c>
      <c r="G181" s="84">
        <v>60</v>
      </c>
      <c r="H181" s="84">
        <v>300</v>
      </c>
      <c r="I181" s="84">
        <f t="shared" si="2"/>
        <v>19.8</v>
      </c>
      <c r="J181" s="84">
        <v>318.15</v>
      </c>
      <c r="K181" s="84">
        <v>160</v>
      </c>
      <c r="L181" s="84">
        <v>5.5</v>
      </c>
      <c r="N181" s="107">
        <f>AVERAGE($E175:$E181)*'Assumptions and Rations'!G$28+AVERAGE($F175:$F181)*'Assumptions and Rations'!G$31+AVERAGE($G175:$G181)*'Assumptions and Rations'!G$29+AVERAGE($I175:$I181)*'Assumptions and Rations'!G$30+'Prices and Spreads'!J$11</f>
        <v>177.13927859154543</v>
      </c>
      <c r="O181" s="107">
        <f>AVERAGE($E177:$E181)*'Assumptions and Rations'!H$28+AVERAGE($F177:$F181)*'Assumptions and Rations'!H$31+AVERAGE($G177:$G181)*'Assumptions and Rations'!H$29+AVERAGE($I177:$I181)*'Assumptions and Rations'!H$30+'Prices and Spreads'!K$11</f>
        <v>156.01300896426744</v>
      </c>
      <c r="P181" s="107">
        <f>N181*0.5*$L174/100*7/12+'Prices and Spreads'!J$15*'Prices and Spreads'!J$7+'Prices and Spreads'!J$14+'Prices and Spreads'!J$12+'Prices and Spreads'!J$13*'Historic Prices'!B174*'Prices and Spreads'!J$4/100</f>
        <v>143.89384387612398</v>
      </c>
      <c r="Q181" s="107">
        <f>O181*0.5*$L176/100*5/12+'Prices and Spreads'!K$15*'Prices and Spreads'!K$7+'Prices and Spreads'!K$14+'Prices and Spreads'!K$12+'Prices and Spreads'!K$13*'Historic Prices'!D176*'Prices and Spreads'!K$4/100</f>
        <v>118.52206572771556</v>
      </c>
    </row>
    <row r="182" spans="1:17" ht="15">
      <c r="A182" s="93">
        <v>37865</v>
      </c>
      <c r="B182" s="84">
        <v>103.44</v>
      </c>
      <c r="C182" s="84">
        <v>102.71875</v>
      </c>
      <c r="D182" s="84">
        <v>89.07</v>
      </c>
      <c r="E182" s="84">
        <v>2.12</v>
      </c>
      <c r="F182" s="84">
        <f>2000/56*E182*'Cattle Returns'!C$5*'Cattle Returns'!C$4</f>
        <v>27.257142857142863</v>
      </c>
      <c r="G182" s="84">
        <v>60</v>
      </c>
      <c r="H182" s="84">
        <v>300</v>
      </c>
      <c r="I182" s="84">
        <f t="shared" si="2"/>
        <v>21.200000000000003</v>
      </c>
      <c r="J182" s="84">
        <v>351.02</v>
      </c>
      <c r="K182" s="84">
        <v>160</v>
      </c>
      <c r="L182" s="84">
        <v>5.5</v>
      </c>
      <c r="N182" s="107">
        <f>AVERAGE($E176:$E182)*'Assumptions and Rations'!G$28+AVERAGE($F176:$F182)*'Assumptions and Rations'!G$31+AVERAGE($G176:$G182)*'Assumptions and Rations'!G$29+AVERAGE($I176:$I182)*'Assumptions and Rations'!G$30+'Prices and Spreads'!J$11</f>
        <v>176.24286844413123</v>
      </c>
      <c r="O182" s="107">
        <f>AVERAGE($E178:$E182)*'Assumptions and Rations'!H$28+AVERAGE($F178:$F182)*'Assumptions and Rations'!H$31+AVERAGE($G178:$G182)*'Assumptions and Rations'!H$29+AVERAGE($I178:$I182)*'Assumptions and Rations'!H$30+'Prices and Spreads'!K$11</f>
        <v>154.50582444522527</v>
      </c>
      <c r="P182" s="107">
        <f>N182*0.5*$L175/100*7/12+'Prices and Spreads'!J$15*'Prices and Spreads'!J$7+'Prices and Spreads'!J$14+'Prices and Spreads'!J$12+'Prices and Spreads'!J$13*'Historic Prices'!B175*'Prices and Spreads'!J$4/100</f>
        <v>143.90751396334255</v>
      </c>
      <c r="Q182" s="107">
        <f>O182*0.5*$L177/100*5/12+'Prices and Spreads'!K$15*'Prices and Spreads'!K$7+'Prices and Spreads'!K$14+'Prices and Spreads'!K$12+'Prices and Spreads'!K$13*'Historic Prices'!D177*'Prices and Spreads'!K$4/100</f>
        <v>118.62404590510153</v>
      </c>
    </row>
    <row r="183" spans="1:17" ht="15">
      <c r="A183" s="93">
        <v>37895</v>
      </c>
      <c r="B183" s="84">
        <v>105.708</v>
      </c>
      <c r="C183" s="84">
        <v>105.378</v>
      </c>
      <c r="D183" s="84">
        <v>102.36</v>
      </c>
      <c r="E183" s="84">
        <v>1.88</v>
      </c>
      <c r="F183" s="84">
        <f>2000/56*E183*'Cattle Returns'!C$5*'Cattle Returns'!C$4</f>
        <v>24.17142857142857</v>
      </c>
      <c r="G183" s="84">
        <v>60</v>
      </c>
      <c r="H183" s="84">
        <v>300</v>
      </c>
      <c r="I183" s="84">
        <f t="shared" si="2"/>
        <v>18.799999999999997</v>
      </c>
      <c r="J183" s="84">
        <v>358.12</v>
      </c>
      <c r="K183" s="84">
        <v>160</v>
      </c>
      <c r="L183" s="84">
        <v>5.5</v>
      </c>
      <c r="N183" s="107">
        <f>AVERAGE($E177:$E183)*'Assumptions and Rations'!G$28+AVERAGE($F177:$F183)*'Assumptions and Rations'!G$31+AVERAGE($G177:$G183)*'Assumptions and Rations'!G$29+AVERAGE($I177:$I183)*'Assumptions and Rations'!G$30+'Prices and Spreads'!J$11</f>
        <v>173.4540368743983</v>
      </c>
      <c r="O183" s="107">
        <f>AVERAGE($E179:$E183)*'Assumptions and Rations'!H$28+AVERAGE($F179:$F183)*'Assumptions and Rations'!H$31+AVERAGE($G179:$G183)*'Assumptions and Rations'!H$29+AVERAGE($I179:$I183)*'Assumptions and Rations'!H$30+'Prices and Spreads'!K$11</f>
        <v>148.97948120873755</v>
      </c>
      <c r="P183" s="107">
        <f>N183*0.5*$L176/100*7/12+'Prices and Spreads'!J$15*'Prices and Spreads'!J$7+'Prices and Spreads'!J$14+'Prices and Spreads'!J$12+'Prices and Spreads'!J$13*'Historic Prices'!B176*'Prices and Spreads'!J$4/100</f>
        <v>143.98157645691143</v>
      </c>
      <c r="Q183" s="107">
        <f>O183*0.5*$L178/100*5/12+'Prices and Spreads'!K$15*'Prices and Spreads'!K$7+'Prices and Spreads'!K$14+'Prices and Spreads'!K$12+'Prices and Spreads'!K$13*'Historic Prices'!D178*'Prices and Spreads'!K$4/100</f>
        <v>118.56803572218344</v>
      </c>
    </row>
    <row r="184" spans="1:17" ht="15">
      <c r="A184" s="93">
        <v>37926</v>
      </c>
      <c r="B184" s="84">
        <v>108.74625</v>
      </c>
      <c r="C184" s="84">
        <v>105.71375</v>
      </c>
      <c r="D184" s="84">
        <v>103.34</v>
      </c>
      <c r="E184" s="84">
        <v>2.06</v>
      </c>
      <c r="F184" s="84">
        <f>2000/56*E184*'Cattle Returns'!C$5*'Cattle Returns'!C$4</f>
        <v>26.485714285714284</v>
      </c>
      <c r="G184" s="84">
        <v>60</v>
      </c>
      <c r="H184" s="84">
        <v>300</v>
      </c>
      <c r="I184" s="84">
        <f t="shared" si="2"/>
        <v>20.6</v>
      </c>
      <c r="J184" s="84">
        <v>370.6</v>
      </c>
      <c r="K184" s="84">
        <v>160</v>
      </c>
      <c r="L184" s="84">
        <v>5.5</v>
      </c>
      <c r="N184" s="107">
        <f>AVERAGE($E178:$E184)*'Assumptions and Rations'!G$28+AVERAGE($F178:$F184)*'Assumptions and Rations'!G$31+AVERAGE($G178:$G184)*'Assumptions and Rations'!G$29+AVERAGE($I178:$I184)*'Assumptions and Rations'!G$30+'Prices and Spreads'!J$11</f>
        <v>171.66121657956995</v>
      </c>
      <c r="O184" s="107">
        <f>AVERAGE($E180:$E184)*'Assumptions and Rations'!H$28+AVERAGE($F180:$F184)*'Assumptions and Rations'!H$31+AVERAGE($G180:$G184)*'Assumptions and Rations'!H$29+AVERAGE($I180:$I184)*'Assumptions and Rations'!H$30+'Prices and Spreads'!K$11</f>
        <v>146.84430314009455</v>
      </c>
      <c r="P184" s="107">
        <f>N184*0.5*$L177/100*7/12+'Prices and Spreads'!J$15*'Prices and Spreads'!J$7+'Prices and Spreads'!J$14+'Prices and Spreads'!J$12+'Prices and Spreads'!J$13*'Historic Prices'!B177*'Prices and Spreads'!J$4/100</f>
        <v>144.08646663134854</v>
      </c>
      <c r="Q184" s="107">
        <f>O184*0.5*$L179/100*5/12+'Prices and Spreads'!K$15*'Prices and Spreads'!K$7+'Prices and Spreads'!K$14+'Prices and Spreads'!K$12+'Prices and Spreads'!K$13*'Historic Prices'!D179*'Prices and Spreads'!K$4/100</f>
        <v>118.3405076401469</v>
      </c>
    </row>
    <row r="185" spans="1:17" ht="15">
      <c r="A185" s="93">
        <v>37956</v>
      </c>
      <c r="B185" s="84">
        <v>108.29</v>
      </c>
      <c r="C185" s="84">
        <v>102.99</v>
      </c>
      <c r="D185" s="84">
        <v>92.19</v>
      </c>
      <c r="E185" s="84">
        <v>2.28</v>
      </c>
      <c r="F185" s="84">
        <f>2000/56*E185*'Cattle Returns'!C$5*'Cattle Returns'!C$4</f>
        <v>29.314285714285717</v>
      </c>
      <c r="G185" s="84">
        <v>60</v>
      </c>
      <c r="H185" s="84">
        <v>300</v>
      </c>
      <c r="I185" s="84">
        <f t="shared" si="2"/>
        <v>22.799999999999997</v>
      </c>
      <c r="J185" s="84">
        <v>362.03</v>
      </c>
      <c r="K185" s="84">
        <v>160</v>
      </c>
      <c r="L185" s="84">
        <v>5.5</v>
      </c>
      <c r="N185" s="107">
        <f>AVERAGE($E179:$E185)*'Assumptions and Rations'!G$28+AVERAGE($F179:$F185)*'Assumptions and Rations'!G$31+AVERAGE($G179:$G185)*'Assumptions and Rations'!G$29+AVERAGE($I179:$I185)*'Assumptions and Rations'!G$30+'Prices and Spreads'!J$11</f>
        <v>171.26281206960815</v>
      </c>
      <c r="O185" s="107">
        <f>AVERAGE($E181:$E185)*'Assumptions and Rations'!H$28+AVERAGE($F181:$F185)*'Assumptions and Rations'!H$31+AVERAGE($G181:$G185)*'Assumptions and Rations'!H$29+AVERAGE($I181:$I185)*'Assumptions and Rations'!H$30+'Prices and Spreads'!K$11</f>
        <v>151.2402579873007</v>
      </c>
      <c r="P185" s="107">
        <f>N185*0.5*$L178/100*7/12+'Prices and Spreads'!J$15*'Prices and Spreads'!J$7+'Prices and Spreads'!J$14+'Prices and Spreads'!J$12+'Prices and Spreads'!J$13*'Historic Prices'!B178*'Prices and Spreads'!J$4/100</f>
        <v>144.07533180900126</v>
      </c>
      <c r="Q185" s="107">
        <f>O185*0.5*$L180/100*5/12+'Prices and Spreads'!K$15*'Prices and Spreads'!K$7+'Prices and Spreads'!K$14+'Prices and Spreads'!K$12+'Prices and Spreads'!K$13*'Historic Prices'!D180*'Prices and Spreads'!K$4/100</f>
        <v>118.46231545610448</v>
      </c>
    </row>
    <row r="186" spans="1:17" ht="15">
      <c r="A186" s="93">
        <v>37987</v>
      </c>
      <c r="B186" s="84">
        <v>103.11</v>
      </c>
      <c r="C186" s="84">
        <v>87.24125</v>
      </c>
      <c r="D186" s="84">
        <v>81.01</v>
      </c>
      <c r="E186" s="84">
        <v>2.45</v>
      </c>
      <c r="F186" s="84">
        <f>2000/56*E186*'Cattle Returns'!C$5*'Cattle Returns'!C$4</f>
        <v>31.500000000000007</v>
      </c>
      <c r="G186" s="84">
        <v>60</v>
      </c>
      <c r="H186" s="84">
        <v>300</v>
      </c>
      <c r="I186" s="84">
        <f t="shared" si="2"/>
        <v>24.5</v>
      </c>
      <c r="J186" s="84">
        <v>381.78</v>
      </c>
      <c r="K186" s="84">
        <v>160</v>
      </c>
      <c r="L186" s="84">
        <v>5.5</v>
      </c>
      <c r="N186" s="107">
        <f>AVERAGE($E180:$E186)*'Assumptions and Rations'!G$28+AVERAGE($F180:$F186)*'Assumptions and Rations'!G$31+AVERAGE($G180:$G186)*'Assumptions and Rations'!G$29+AVERAGE($I180:$I186)*'Assumptions and Rations'!G$30+'Prices and Spreads'!J$11</f>
        <v>173.4540368743983</v>
      </c>
      <c r="O186" s="107">
        <f>AVERAGE($E182:$E186)*'Assumptions and Rations'!H$28+AVERAGE($F182:$F186)*'Assumptions and Rations'!H$31+AVERAGE($G182:$G186)*'Assumptions and Rations'!H$29+AVERAGE($I182:$I186)*'Assumptions and Rations'!H$30+'Prices and Spreads'!K$11</f>
        <v>157.143397353549</v>
      </c>
      <c r="P186" s="107">
        <f>N186*0.5*$L179/100*7/12+'Prices and Spreads'!J$15*'Prices and Spreads'!J$7+'Prices and Spreads'!J$14+'Prices and Spreads'!J$12+'Prices and Spreads'!J$13*'Historic Prices'!B179*'Prices and Spreads'!J$4/100</f>
        <v>144.31198895691142</v>
      </c>
      <c r="Q186" s="107">
        <f>O186*0.5*$L181/100*5/12+'Prices and Spreads'!K$15*'Prices and Spreads'!K$7+'Prices and Spreads'!K$14+'Prices and Spreads'!K$12+'Prices and Spreads'!K$13*'Historic Prices'!D181*'Prices and Spreads'!K$4/100</f>
        <v>118.73751809467608</v>
      </c>
    </row>
    <row r="187" spans="1:17" ht="15">
      <c r="A187" s="93">
        <v>38018</v>
      </c>
      <c r="B187" s="84">
        <v>106.43</v>
      </c>
      <c r="C187" s="84">
        <v>87.81</v>
      </c>
      <c r="D187" s="84">
        <v>78.75</v>
      </c>
      <c r="E187" s="84">
        <v>2.59</v>
      </c>
      <c r="F187" s="84">
        <f>2000/56*E187*'Cattle Returns'!C$5*'Cattle Returns'!C$4</f>
        <v>33.300000000000004</v>
      </c>
      <c r="G187" s="84">
        <v>60</v>
      </c>
      <c r="H187" s="84">
        <v>300</v>
      </c>
      <c r="I187" s="84">
        <f t="shared" si="2"/>
        <v>25.9</v>
      </c>
      <c r="J187" s="84">
        <v>386.33</v>
      </c>
      <c r="K187" s="84">
        <v>160</v>
      </c>
      <c r="L187" s="84">
        <v>5.5</v>
      </c>
      <c r="N187" s="107">
        <f>AVERAGE($E181:$E187)*'Assumptions and Rations'!G$28+AVERAGE($F181:$F187)*'Assumptions and Rations'!G$31+AVERAGE($G181:$G187)*'Assumptions and Rations'!G$29+AVERAGE($I181:$I187)*'Assumptions and Rations'!G$30+'Prices and Spreads'!J$11</f>
        <v>180.02771128876884</v>
      </c>
      <c r="O187" s="107">
        <f>AVERAGE($E183:$E187)*'Assumptions and Rations'!H$28+AVERAGE($F183:$F187)*'Assumptions and Rations'!H$31+AVERAGE($G183:$G187)*'Assumptions and Rations'!H$29+AVERAGE($I183:$I187)*'Assumptions and Rations'!H$30+'Prices and Spreads'!K$11</f>
        <v>163.0465367197973</v>
      </c>
      <c r="P187" s="107">
        <f>N187*0.5*$L180/100*7/12+'Prices and Spreads'!J$15*'Prices and Spreads'!J$7+'Prices and Spreads'!J$14+'Prices and Spreads'!J$12+'Prices and Spreads'!J$13*'Historic Prices'!B180*'Prices and Spreads'!J$4/100</f>
        <v>144.55480415064193</v>
      </c>
      <c r="Q187" s="107">
        <f>O187*0.5*$L182/100*5/12+'Prices and Spreads'!K$15*'Prices and Spreads'!K$7+'Prices and Spreads'!K$14+'Prices and Spreads'!K$12+'Prices and Spreads'!K$13*'Historic Prices'!D182*'Prices and Spreads'!K$4/100</f>
        <v>119.29509573324766</v>
      </c>
    </row>
    <row r="188" spans="1:17" ht="15">
      <c r="A188" s="93">
        <v>38047</v>
      </c>
      <c r="B188" s="84">
        <v>113.62</v>
      </c>
      <c r="C188" s="84">
        <v>92.13</v>
      </c>
      <c r="D188" s="84">
        <v>85.36</v>
      </c>
      <c r="E188" s="84">
        <v>2.82</v>
      </c>
      <c r="F188" s="84">
        <f>2000/56*E188*'Cattle Returns'!C$5*'Cattle Returns'!C$4</f>
        <v>36.25714285714286</v>
      </c>
      <c r="G188" s="84">
        <v>60</v>
      </c>
      <c r="H188" s="84">
        <v>300</v>
      </c>
      <c r="I188" s="84">
        <f t="shared" si="2"/>
        <v>28.2</v>
      </c>
      <c r="J188" s="84">
        <v>421.03</v>
      </c>
      <c r="K188" s="84">
        <v>160</v>
      </c>
      <c r="L188" s="84">
        <v>5.5</v>
      </c>
      <c r="N188" s="107">
        <f>AVERAGE($E182:$E188)*'Assumptions and Rations'!G$28+AVERAGE($F182:$F188)*'Assumptions and Rations'!G$31+AVERAGE($G182:$G188)*'Assumptions and Rations'!G$29+AVERAGE($I182:$I188)*'Assumptions and Rations'!G$30+'Prices and Spreads'!J$11</f>
        <v>188.39420599796767</v>
      </c>
      <c r="O188" s="107">
        <f>AVERAGE($E184:$E188)*'Assumptions and Rations'!H$28+AVERAGE($F184:$F188)*'Assumptions and Rations'!H$31+AVERAGE($G184:$G188)*'Assumptions and Rations'!H$29+AVERAGE($I184:$I188)*'Assumptions and Rations'!H$30+'Prices and Spreads'!K$11</f>
        <v>174.8528154522939</v>
      </c>
      <c r="P188" s="107">
        <f>N188*0.5*$L181/100*7/12+'Prices and Spreads'!J$15*'Prices and Spreads'!J$7+'Prices and Spreads'!J$14+'Prices and Spreads'!J$12+'Prices and Spreads'!J$13*'Historic Prices'!B181*'Prices and Spreads'!J$4/100</f>
        <v>144.60775416993533</v>
      </c>
      <c r="Q188" s="107">
        <f>O188*0.5*$L183/100*5/12+'Prices and Spreads'!K$15*'Prices and Spreads'!K$7+'Prices and Spreads'!K$14+'Prices and Spreads'!K$12+'Prices and Spreads'!K$13*'Historic Prices'!D183*'Prices and Spreads'!K$4/100</f>
        <v>120.17793851039086</v>
      </c>
    </row>
    <row r="189" spans="1:17" ht="15">
      <c r="A189" s="93">
        <v>38078</v>
      </c>
      <c r="B189" s="84">
        <v>116.04</v>
      </c>
      <c r="C189" s="84">
        <v>97.97</v>
      </c>
      <c r="D189" s="84">
        <v>87.32</v>
      </c>
      <c r="E189" s="84">
        <v>2.9</v>
      </c>
      <c r="F189" s="84">
        <f>2000/56*E189*'Cattle Returns'!C$5*'Cattle Returns'!C$4</f>
        <v>37.285714285714285</v>
      </c>
      <c r="G189" s="84">
        <v>60</v>
      </c>
      <c r="H189" s="84">
        <v>300</v>
      </c>
      <c r="I189" s="84">
        <f t="shared" si="2"/>
        <v>29</v>
      </c>
      <c r="J189" s="84">
        <v>437.3</v>
      </c>
      <c r="K189" s="84">
        <v>160</v>
      </c>
      <c r="L189" s="84">
        <v>5.5</v>
      </c>
      <c r="N189" s="107">
        <f>AVERAGE($E183:$E189)*'Assumptions and Rations'!G$28+AVERAGE($F183:$F189)*'Assumptions and Rations'!G$31+AVERAGE($G183:$G189)*'Assumptions and Rations'!G$29+AVERAGE($I183:$I189)*'Assumptions and Rations'!G$30+'Prices and Spreads'!J$11</f>
        <v>196.16309394222378</v>
      </c>
      <c r="O189" s="107">
        <f>AVERAGE($E185:$E189)*'Assumptions and Rations'!H$28+AVERAGE($F185:$F189)*'Assumptions and Rations'!H$31+AVERAGE($G185:$G189)*'Assumptions and Rations'!H$29+AVERAGE($I185:$I189)*'Assumptions and Rations'!H$30+'Prices and Spreads'!K$11</f>
        <v>185.40310708558874</v>
      </c>
      <c r="P189" s="107">
        <f>N189*0.5*$L182/100*7/12+'Prices and Spreads'!J$15*'Prices and Spreads'!J$7+'Prices and Spreads'!J$14+'Prices and Spreads'!J$12+'Prices and Spreads'!J$13*'Historic Prices'!B182*'Prices and Spreads'!J$4/100</f>
        <v>144.99596758070777</v>
      </c>
      <c r="Q189" s="107">
        <f>O189*0.5*$L184/100*5/12+'Prices and Spreads'!K$15*'Prices and Spreads'!K$7+'Prices and Spreads'!K$14+'Prices and Spreads'!K$12+'Prices and Spreads'!K$13*'Historic Prices'!D184*'Prices and Spreads'!K$4/100</f>
        <v>120.35395226868903</v>
      </c>
    </row>
    <row r="190" spans="1:17" ht="15">
      <c r="A190" s="93">
        <v>38108</v>
      </c>
      <c r="B190" s="84">
        <v>122.84</v>
      </c>
      <c r="C190" s="84">
        <v>106.7</v>
      </c>
      <c r="D190" s="84">
        <v>88.22</v>
      </c>
      <c r="E190" s="84">
        <v>2.71</v>
      </c>
      <c r="F190" s="84">
        <f>2000/56*E190*'Cattle Returns'!C$5*'Cattle Returns'!C$4</f>
        <v>34.84285714285715</v>
      </c>
      <c r="G190" s="84">
        <v>60</v>
      </c>
      <c r="H190" s="84">
        <v>300</v>
      </c>
      <c r="I190" s="84">
        <f t="shared" si="2"/>
        <v>27.1</v>
      </c>
      <c r="J190" s="84">
        <v>421.06</v>
      </c>
      <c r="K190" s="84">
        <v>160</v>
      </c>
      <c r="L190" s="84">
        <v>5.5</v>
      </c>
      <c r="N190" s="107">
        <f>AVERAGE($E184:$E190)*'Assumptions and Rations'!G$28+AVERAGE($F184:$F190)*'Assumptions and Rations'!G$31+AVERAGE($G184:$G190)*'Assumptions and Rations'!G$29+AVERAGE($I184:$I190)*'Assumptions and Rations'!G$30+'Prices and Spreads'!J$11</f>
        <v>204.4299875239322</v>
      </c>
      <c r="O190" s="107">
        <f>AVERAGE($E186:$E190)*'Assumptions and Rations'!H$28+AVERAGE($F186:$F190)*'Assumptions and Rations'!H$31+AVERAGE($G186:$G190)*'Assumptions and Rations'!H$29+AVERAGE($I186:$I190)*'Assumptions and Rations'!H$30+'Prices and Spreads'!K$11</f>
        <v>190.80385161215636</v>
      </c>
      <c r="P190" s="107">
        <f>N190*0.5*$L183/100*7/12+'Prices and Spreads'!J$15*'Prices and Spreads'!J$7+'Prices and Spreads'!J$14+'Prices and Spreads'!J$12+'Prices and Spreads'!J$13*'Historic Prices'!B183*'Prices and Spreads'!J$4/100</f>
        <v>145.31569233191436</v>
      </c>
      <c r="Q190" s="107">
        <f>O190*0.5*$L185/100*5/12+'Prices and Spreads'!K$15*'Prices and Spreads'!K$7+'Prices and Spreads'!K$14+'Prices and Spreads'!K$12+'Prices and Spreads'!K$13*'Historic Prices'!D185*'Prices and Spreads'!K$4/100</f>
        <v>119.78864829972261</v>
      </c>
    </row>
    <row r="191" spans="1:17" ht="15">
      <c r="A191" s="93">
        <v>38139</v>
      </c>
      <c r="B191" s="84">
        <v>124.11</v>
      </c>
      <c r="C191" s="84">
        <v>113.87</v>
      </c>
      <c r="D191" s="84">
        <v>89.7</v>
      </c>
      <c r="E191" s="84">
        <v>2.58</v>
      </c>
      <c r="F191" s="84">
        <f>2000/56*E191*'Cattle Returns'!C$5*'Cattle Returns'!C$4</f>
        <v>33.17142857142858</v>
      </c>
      <c r="G191" s="84">
        <v>60</v>
      </c>
      <c r="H191" s="84">
        <v>300</v>
      </c>
      <c r="I191" s="84">
        <f t="shared" si="2"/>
        <v>25.8</v>
      </c>
      <c r="J191" s="84">
        <v>397.41</v>
      </c>
      <c r="K191" s="84">
        <v>160</v>
      </c>
      <c r="L191" s="84">
        <v>5.5</v>
      </c>
      <c r="N191" s="107">
        <f>AVERAGE($E185:$E191)*'Assumptions and Rations'!G$28+AVERAGE($F185:$F191)*'Assumptions and Rations'!G$31+AVERAGE($G185:$G191)*'Assumptions and Rations'!G$29+AVERAGE($I185:$I191)*'Assumptions and Rations'!G$30+'Prices and Spreads'!J$11</f>
        <v>209.60924615343623</v>
      </c>
      <c r="O191" s="107">
        <f>AVERAGE($E187:$E191)*'Assumptions and Rations'!H$28+AVERAGE($F187:$F191)*'Assumptions and Rations'!H$31+AVERAGE($G187:$G191)*'Assumptions and Rations'!H$29+AVERAGE($I187:$I191)*'Assumptions and Rations'!H$30+'Prices and Spreads'!K$11</f>
        <v>192.43663484111863</v>
      </c>
      <c r="P191" s="107">
        <f>N191*0.5*$L184/100*7/12+'Prices and Spreads'!J$15*'Prices and Spreads'!J$7+'Prices and Spreads'!J$14+'Prices and Spreads'!J$12+'Prices and Spreads'!J$13*'Historic Prices'!B184*'Prices and Spreads'!J$4/100</f>
        <v>145.64943189742934</v>
      </c>
      <c r="Q191" s="107">
        <f>O191*0.5*$L186/100*5/12+'Prices and Spreads'!K$15*'Prices and Spreads'!K$7+'Prices and Spreads'!K$14+'Prices and Spreads'!K$12+'Prices and Spreads'!K$13*'Historic Prices'!D186*'Prices and Spreads'!K$4/100</f>
        <v>119.17848227422115</v>
      </c>
    </row>
    <row r="192" spans="1:17" ht="15">
      <c r="A192" s="93">
        <v>38169</v>
      </c>
      <c r="B192" s="84">
        <v>130.187</v>
      </c>
      <c r="C192" s="84">
        <v>118.56799999999998</v>
      </c>
      <c r="D192" s="84">
        <v>84.486</v>
      </c>
      <c r="E192" s="84">
        <v>2.35</v>
      </c>
      <c r="F192" s="84">
        <f>2000/56*E192*'Cattle Returns'!C$5*'Cattle Returns'!C$4</f>
        <v>30.21428571428572</v>
      </c>
      <c r="G192" s="84">
        <v>60</v>
      </c>
      <c r="H192" s="84">
        <v>300</v>
      </c>
      <c r="I192" s="84">
        <f t="shared" si="2"/>
        <v>23.5</v>
      </c>
      <c r="J192" s="84">
        <v>407.5816196407425</v>
      </c>
      <c r="K192" s="84">
        <v>160</v>
      </c>
      <c r="L192" s="84">
        <v>5.5</v>
      </c>
      <c r="N192" s="107">
        <f>AVERAGE($E186:$E192)*'Assumptions and Rations'!G$28+AVERAGE($F186:$F192)*'Assumptions and Rations'!G$31+AVERAGE($G186:$G192)*'Assumptions and Rations'!G$29+AVERAGE($I186:$I192)*'Assumptions and Rations'!G$30+'Prices and Spreads'!J$11</f>
        <v>210.3064540458695</v>
      </c>
      <c r="O192" s="107">
        <f>AVERAGE($E188:$E192)*'Assumptions and Rations'!H$28+AVERAGE($F188:$F192)*'Assumptions and Rations'!H$31+AVERAGE($G188:$G192)*'Assumptions and Rations'!H$29+AVERAGE($I188:$I192)*'Assumptions and Rations'!H$30+'Prices and Spreads'!K$11</f>
        <v>189.42226580303438</v>
      </c>
      <c r="P192" s="107">
        <f>N192*0.5*$L185/100*7/12+'Prices and Spreads'!J$15*'Prices and Spreads'!J$7+'Prices and Spreads'!J$14+'Prices and Spreads'!J$12+'Prices and Spreads'!J$13*'Historic Prices'!B185*'Prices and Spreads'!J$4/100</f>
        <v>145.62297564903707</v>
      </c>
      <c r="Q192" s="107">
        <f>O192*0.5*$L187/100*5/12+'Prices and Spreads'!K$15*'Prices and Spreads'!K$7+'Prices and Spreads'!K$14+'Prices and Spreads'!K$12+'Prices and Spreads'!K$13*'Historic Prices'!D187*'Prices and Spreads'!K$4/100</f>
        <v>119.0168176289931</v>
      </c>
    </row>
    <row r="193" spans="1:17" ht="15">
      <c r="A193" s="93">
        <v>38200</v>
      </c>
      <c r="B193" s="84">
        <v>133.27</v>
      </c>
      <c r="C193" s="84">
        <v>119.67</v>
      </c>
      <c r="D193" s="84">
        <v>83.87</v>
      </c>
      <c r="E193" s="84">
        <v>2.15</v>
      </c>
      <c r="F193" s="84">
        <f>2000/56*E193*'Cattle Returns'!C$5*'Cattle Returns'!C$4</f>
        <v>27.642857142857146</v>
      </c>
      <c r="G193" s="84">
        <v>60</v>
      </c>
      <c r="H193" s="84">
        <v>300</v>
      </c>
      <c r="I193" s="84">
        <f t="shared" si="2"/>
        <v>21.5</v>
      </c>
      <c r="J193" s="84">
        <v>336.74</v>
      </c>
      <c r="K193" s="84">
        <v>160</v>
      </c>
      <c r="L193" s="84">
        <v>5.5</v>
      </c>
      <c r="N193" s="107">
        <f>AVERAGE($E187:$E193)*'Assumptions and Rations'!G$28+AVERAGE($F187:$F193)*'Assumptions and Rations'!G$31+AVERAGE($G187:$G193)*'Assumptions and Rations'!G$29+AVERAGE($I187:$I193)*'Assumptions and Rations'!G$30+'Prices and Spreads'!J$11</f>
        <v>207.3184202211556</v>
      </c>
      <c r="O193" s="107">
        <f>AVERAGE($E189:$E193)*'Assumptions and Rations'!H$28+AVERAGE($F189:$F193)*'Assumptions and Rations'!H$31+AVERAGE($G189:$G193)*'Assumptions and Rations'!H$29+AVERAGE($I189:$I193)*'Assumptions and Rations'!H$30+'Prices and Spreads'!K$11</f>
        <v>181.00715223838256</v>
      </c>
      <c r="P193" s="107">
        <f>N193*0.5*$L186/100*7/12+'Prices and Spreads'!J$15*'Prices and Spreads'!J$7+'Prices and Spreads'!J$14+'Prices and Spreads'!J$12+'Prices and Spreads'!J$13*'Historic Prices'!B186*'Prices and Spreads'!J$4/100</f>
        <v>145.14769260643232</v>
      </c>
      <c r="Q193" s="107">
        <f>O193*0.5*$L188/100*5/12+'Prices and Spreads'!K$15*'Prices and Spreads'!K$7+'Prices and Spreads'!K$14+'Prices and Spreads'!K$12+'Prices and Spreads'!K$13*'Historic Prices'!D188*'Prices and Spreads'!K$4/100</f>
        <v>119.29220695273146</v>
      </c>
    </row>
    <row r="194" spans="1:17" ht="15">
      <c r="A194" s="93">
        <v>38231</v>
      </c>
      <c r="B194" s="84">
        <v>122.74</v>
      </c>
      <c r="C194" s="84">
        <v>115.57</v>
      </c>
      <c r="D194" s="84">
        <v>81.43</v>
      </c>
      <c r="E194" s="84">
        <v>2</v>
      </c>
      <c r="F194" s="84">
        <f>2000/56*E194*'Cattle Returns'!C$5*'Cattle Returns'!C$4</f>
        <v>25.71428571428572</v>
      </c>
      <c r="G194" s="84">
        <v>60</v>
      </c>
      <c r="H194" s="84">
        <v>300</v>
      </c>
      <c r="I194" s="84">
        <f t="shared" si="2"/>
        <v>20</v>
      </c>
      <c r="J194" s="84">
        <v>307.13</v>
      </c>
      <c r="K194" s="84">
        <v>160</v>
      </c>
      <c r="L194" s="84">
        <v>5.5</v>
      </c>
      <c r="N194" s="107">
        <f>AVERAGE($E188:$E194)*'Assumptions and Rations'!G$28+AVERAGE($F188:$F194)*'Assumptions and Rations'!G$31+AVERAGE($G188:$G194)*'Assumptions and Rations'!G$29+AVERAGE($I188:$I194)*'Assumptions and Rations'!G$30+'Prices and Spreads'!J$11</f>
        <v>201.44195369921832</v>
      </c>
      <c r="O194" s="107">
        <f>AVERAGE($E190:$E194)*'Assumptions and Rations'!H$28+AVERAGE($F190:$F194)*'Assumptions and Rations'!H$31+AVERAGE($G190:$G194)*'Assumptions and Rations'!H$29+AVERAGE($I190:$I194)*'Assumptions and Rations'!H$30+'Prices and Spreads'!K$11</f>
        <v>169.7032683455667</v>
      </c>
      <c r="P194" s="107">
        <f>N194*0.5*$L187/100*7/12+'Prices and Spreads'!J$15*'Prices and Spreads'!J$7+'Prices and Spreads'!J$14+'Prices and Spreads'!J$12+'Prices and Spreads'!J$13*'Historic Prices'!B187*'Prices and Spreads'!J$4/100</f>
        <v>145.32732428930956</v>
      </c>
      <c r="Q194" s="107">
        <f>O194*0.5*$L189/100*5/12+'Prices and Spreads'!K$15*'Prices and Spreads'!K$7+'Prices and Spreads'!K$14+'Prices and Spreads'!K$12+'Prices and Spreads'!K$13*'Historic Prices'!D189*'Prices and Spreads'!K$4/100</f>
        <v>119.27293328312628</v>
      </c>
    </row>
    <row r="195" spans="1:17" ht="15">
      <c r="A195" s="93">
        <v>38261</v>
      </c>
      <c r="B195" s="84">
        <v>121.3</v>
      </c>
      <c r="C195" s="84">
        <v>114.09</v>
      </c>
      <c r="D195" s="84">
        <v>82.58</v>
      </c>
      <c r="E195" s="84">
        <v>1.75</v>
      </c>
      <c r="F195" s="84">
        <f>2000/56*E195*'Cattle Returns'!C$5*'Cattle Returns'!C$4</f>
        <v>22.5</v>
      </c>
      <c r="G195" s="84">
        <v>60</v>
      </c>
      <c r="H195" s="84">
        <v>300</v>
      </c>
      <c r="I195" s="84">
        <f t="shared" si="2"/>
        <v>17.5</v>
      </c>
      <c r="J195" s="84">
        <v>291.35</v>
      </c>
      <c r="K195" s="84">
        <v>160</v>
      </c>
      <c r="L195" s="84">
        <v>5.5</v>
      </c>
      <c r="N195" s="107">
        <f>AVERAGE($E189:$E195)*'Assumptions and Rations'!G$28+AVERAGE($F189:$F195)*'Assumptions and Rations'!G$31+AVERAGE($G189:$G195)*'Assumptions and Rations'!G$29+AVERAGE($I189:$I195)*'Assumptions and Rations'!G$30+'Prices and Spreads'!J$11</f>
        <v>190.7846330577388</v>
      </c>
      <c r="O195" s="107">
        <f>AVERAGE($E191:$E195)*'Assumptions and Rations'!H$28+AVERAGE($F191:$F195)*'Assumptions and Rations'!H$31+AVERAGE($G191:$G195)*'Assumptions and Rations'!H$29+AVERAGE($I191:$I195)*'Assumptions and Rations'!H$30+'Prices and Spreads'!K$11</f>
        <v>157.6457921932297</v>
      </c>
      <c r="P195" s="107">
        <f>N195*0.5*$L188/100*7/12+'Prices and Spreads'!J$15*'Prices and Spreads'!J$7+'Prices and Spreads'!J$14+'Prices and Spreads'!J$12+'Prices and Spreads'!J$13*'Historic Prices'!B188*'Prices and Spreads'!J$4/100</f>
        <v>145.74953810401917</v>
      </c>
      <c r="Q195" s="107">
        <f>O195*0.5*$L190/100*5/12+'Prices and Spreads'!K$15*'Prices and Spreads'!K$7+'Prices and Spreads'!K$14+'Prices and Spreads'!K$12+'Prices and Spreads'!K$13*'Historic Prices'!D190*'Prices and Spreads'!K$4/100</f>
        <v>119.18539970221407</v>
      </c>
    </row>
    <row r="196" spans="1:17" ht="15">
      <c r="A196" s="93">
        <v>38292</v>
      </c>
      <c r="B196" s="84">
        <v>120.58</v>
      </c>
      <c r="C196" s="84">
        <v>107.65</v>
      </c>
      <c r="D196" s="84">
        <v>82.03</v>
      </c>
      <c r="E196" s="84">
        <v>1.9</v>
      </c>
      <c r="F196" s="84">
        <f>2000/56*E196*'Cattle Returns'!C$5*'Cattle Returns'!C$4</f>
        <v>24.42857142857143</v>
      </c>
      <c r="G196" s="84">
        <v>60</v>
      </c>
      <c r="H196" s="84">
        <v>300</v>
      </c>
      <c r="I196" s="84">
        <f t="shared" si="2"/>
        <v>19</v>
      </c>
      <c r="J196" s="84">
        <v>291.01</v>
      </c>
      <c r="K196" s="84">
        <v>160</v>
      </c>
      <c r="L196" s="84">
        <v>5.5</v>
      </c>
      <c r="N196" s="107">
        <f>AVERAGE($E190:$E196)*'Assumptions and Rations'!G$28+AVERAGE($F190:$F196)*'Assumptions and Rations'!G$31+AVERAGE($G190:$G196)*'Assumptions and Rations'!G$29+AVERAGE($I190:$I196)*'Assumptions and Rations'!G$30+'Prices and Spreads'!J$11</f>
        <v>180.82452030869254</v>
      </c>
      <c r="O196" s="107">
        <f>AVERAGE($E192:$E196)*'Assumptions and Rations'!H$28+AVERAGE($F192:$F196)*'Assumptions and Rations'!H$31+AVERAGE($G192:$G196)*'Assumptions and Rations'!H$29+AVERAGE($I192:$I196)*'Assumptions and Rations'!H$30+'Prices and Spreads'!K$11</f>
        <v>149.10507991865774</v>
      </c>
      <c r="P196" s="107">
        <f>N196*0.5*$L189/100*7/12+'Prices and Spreads'!J$15*'Prices and Spreads'!J$7+'Prices and Spreads'!J$14+'Prices and Spreads'!J$12+'Prices and Spreads'!J$13*'Historic Prices'!B189*'Prices and Spreads'!J$4/100</f>
        <v>145.78941129533655</v>
      </c>
      <c r="Q196" s="107">
        <f>O196*0.5*$L191/100*5/12+'Prices and Spreads'!K$15*'Prices and Spreads'!K$7+'Prices and Spreads'!K$14+'Prices and Spreads'!K$12+'Prices and Spreads'!K$13*'Historic Prices'!D191*'Prices and Spreads'!K$4/100</f>
        <v>119.17078737406794</v>
      </c>
    </row>
    <row r="197" spans="1:17" ht="15">
      <c r="A197" s="93">
        <v>38322</v>
      </c>
      <c r="B197" s="84">
        <v>121.06</v>
      </c>
      <c r="C197" s="84">
        <v>106.44</v>
      </c>
      <c r="D197" s="84">
        <v>85.57</v>
      </c>
      <c r="E197" s="84">
        <v>1.9</v>
      </c>
      <c r="F197" s="84">
        <f>2000/56*E197*'Cattle Returns'!C$5*'Cattle Returns'!C$4</f>
        <v>24.42857142857143</v>
      </c>
      <c r="G197" s="84">
        <v>60</v>
      </c>
      <c r="H197" s="84">
        <v>300</v>
      </c>
      <c r="I197" s="84">
        <f t="shared" si="2"/>
        <v>19</v>
      </c>
      <c r="J197" s="84">
        <v>297.72</v>
      </c>
      <c r="K197" s="84">
        <v>160</v>
      </c>
      <c r="L197" s="84">
        <v>5.5</v>
      </c>
      <c r="N197" s="107">
        <f>AVERAGE($E191:$E197)*'Assumptions and Rations'!G$28+AVERAGE($F191:$F197)*'Assumptions and Rations'!G$31+AVERAGE($G191:$G197)*'Assumptions and Rations'!G$29+AVERAGE($I191:$I197)*'Assumptions and Rations'!G$30+'Prices and Spreads'!J$11</f>
        <v>172.75682898196504</v>
      </c>
      <c r="O197" s="107">
        <f>AVERAGE($E193:$E197)*'Assumptions and Rations'!H$28+AVERAGE($F193:$F197)*'Assumptions and Rations'!H$31+AVERAGE($G193:$G197)*'Assumptions and Rations'!H$29+AVERAGE($I193:$I197)*'Assumptions and Rations'!H$30+'Prices and Spreads'!K$11</f>
        <v>143.45313797224978</v>
      </c>
      <c r="P197" s="107">
        <f>N197*0.5*$L190/100*7/12+'Prices and Spreads'!J$15*'Prices and Spreads'!J$7+'Prices and Spreads'!J$14+'Prices and Spreads'!J$12+'Prices and Spreads'!J$13*'Historic Prices'!B190*'Prices and Spreads'!J$4/100</f>
        <v>146.22099208030363</v>
      </c>
      <c r="Q197" s="107">
        <f>O197*0.5*$L192/100*5/12+'Prices and Spreads'!K$15*'Prices and Spreads'!K$7+'Prices and Spreads'!K$14+'Prices and Spreads'!K$12+'Prices and Spreads'!K$13*'Historic Prices'!D192*'Prices and Spreads'!K$4/100</f>
        <v>118.81273803926535</v>
      </c>
    </row>
    <row r="198" spans="1:17" ht="15">
      <c r="A198" s="93">
        <v>38353</v>
      </c>
      <c r="B198" s="84">
        <v>118.27</v>
      </c>
      <c r="C198" s="84">
        <v>105.3</v>
      </c>
      <c r="D198" s="84">
        <v>88.22</v>
      </c>
      <c r="E198" s="84">
        <v>1.95</v>
      </c>
      <c r="F198" s="84">
        <f>2000/56*E198*'Cattle Returns'!C$5*'Cattle Returns'!C$4</f>
        <v>25.07142857142857</v>
      </c>
      <c r="G198" s="84">
        <v>60</v>
      </c>
      <c r="H198" s="84">
        <v>300</v>
      </c>
      <c r="I198" s="84">
        <f t="shared" si="2"/>
        <v>19.5</v>
      </c>
      <c r="J198" s="84">
        <v>304.37</v>
      </c>
      <c r="K198" s="84">
        <v>160</v>
      </c>
      <c r="L198" s="84">
        <v>6.25</v>
      </c>
      <c r="N198" s="107">
        <f>AVERAGE($E192:$E198)*'Assumptions and Rations'!G$28+AVERAGE($F192:$F198)*'Assumptions and Rations'!G$31+AVERAGE($G192:$G198)*'Assumptions and Rations'!G$29+AVERAGE($I192:$I198)*'Assumptions and Rations'!G$30+'Prices and Spreads'!J$11</f>
        <v>166.48195795006592</v>
      </c>
      <c r="O198" s="107">
        <f>AVERAGE($E194:$E198)*'Assumptions and Rations'!H$28+AVERAGE($F194:$F198)*'Assumptions and Rations'!H$31+AVERAGE($G194:$G198)*'Assumptions and Rations'!H$29+AVERAGE($I194:$I198)*'Assumptions and Rations'!H$30+'Prices and Spreads'!K$11</f>
        <v>140.94116377384626</v>
      </c>
      <c r="P198" s="107">
        <f>N198*0.5*$L191/100*7/12+'Prices and Spreads'!J$15*'Prices and Spreads'!J$7+'Prices and Spreads'!J$14+'Prices and Spreads'!J$12+'Prices and Spreads'!J$13*'Historic Prices'!B191*'Prices and Spreads'!J$4/100</f>
        <v>146.22510769083357</v>
      </c>
      <c r="Q198" s="107">
        <f>O198*0.5*$L193/100*5/12+'Prices and Spreads'!K$15*'Prices and Spreads'!K$7+'Prices and Spreads'!K$14+'Prices and Spreads'!K$12+'Prices and Spreads'!K$13*'Historic Prices'!D193*'Prices and Spreads'!K$4/100</f>
        <v>118.74930500157531</v>
      </c>
    </row>
    <row r="199" spans="1:17" ht="15">
      <c r="A199" s="93">
        <v>38384</v>
      </c>
      <c r="B199" s="84">
        <v>123.15</v>
      </c>
      <c r="C199" s="84">
        <v>103.27</v>
      </c>
      <c r="D199" s="84">
        <v>87.42</v>
      </c>
      <c r="E199" s="84">
        <v>2</v>
      </c>
      <c r="F199" s="84">
        <f>2000/56*E199*'Cattle Returns'!C$5*'Cattle Returns'!C$4</f>
        <v>25.71428571428572</v>
      </c>
      <c r="G199" s="84">
        <v>60</v>
      </c>
      <c r="H199" s="84">
        <v>300</v>
      </c>
      <c r="I199" s="84">
        <f aca="true" t="shared" si="3" ref="I199:I209">10*E199</f>
        <v>20</v>
      </c>
      <c r="J199" s="84">
        <v>303.59</v>
      </c>
      <c r="K199" s="84">
        <v>160</v>
      </c>
      <c r="L199" s="84">
        <v>6.25</v>
      </c>
      <c r="N199" s="107">
        <f>AVERAGE($E193:$E199)*'Assumptions and Rations'!G$28+AVERAGE($F193:$F199)*'Assumptions and Rations'!G$31+AVERAGE($G193:$G199)*'Assumptions and Rations'!G$29+AVERAGE($I193:$I199)*'Assumptions and Rations'!G$30+'Prices and Spreads'!J$11</f>
        <v>162.99591848789973</v>
      </c>
      <c r="O199" s="107">
        <f>AVERAGE($E195:$E199)*'Assumptions and Rations'!H$28+AVERAGE($F195:$F199)*'Assumptions and Rations'!H$31+AVERAGE($G195:$G199)*'Assumptions and Rations'!H$29+AVERAGE($I195:$I199)*'Assumptions and Rations'!H$30+'Prices and Spreads'!K$11</f>
        <v>140.94116377384626</v>
      </c>
      <c r="P199" s="107">
        <f>N199*0.5*$L192/100*7/12+'Prices and Spreads'!J$15*'Prices and Spreads'!J$7+'Prices and Spreads'!J$14+'Prices and Spreads'!J$12+'Prices and Spreads'!J$13*'Historic Prices'!B192*'Prices and Spreads'!J$4/100</f>
        <v>146.6705383077947</v>
      </c>
      <c r="Q199" s="107">
        <f>O199*0.5*$L194/100*5/12+'Prices and Spreads'!K$15*'Prices and Spreads'!K$7+'Prices and Spreads'!K$14+'Prices and Spreads'!K$12+'Prices and Spreads'!K$13*'Historic Prices'!D194*'Prices and Spreads'!K$4/100</f>
        <v>118.61205500157531</v>
      </c>
    </row>
    <row r="200" spans="1:17" ht="15">
      <c r="A200" s="93">
        <v>38412</v>
      </c>
      <c r="B200" s="84">
        <v>130.78</v>
      </c>
      <c r="C200" s="84">
        <v>107.65</v>
      </c>
      <c r="D200" s="84">
        <v>92.27</v>
      </c>
      <c r="E200" s="84">
        <v>1.95</v>
      </c>
      <c r="F200" s="84">
        <f>2000/56*E200*'Cattle Returns'!C$5*'Cattle Returns'!C$4</f>
        <v>25.07142857142857</v>
      </c>
      <c r="G200" s="84">
        <v>60</v>
      </c>
      <c r="H200" s="84">
        <v>300</v>
      </c>
      <c r="I200" s="84">
        <f t="shared" si="3"/>
        <v>19.5</v>
      </c>
      <c r="J200" s="84">
        <v>323.17</v>
      </c>
      <c r="K200" s="84">
        <v>160</v>
      </c>
      <c r="L200" s="84">
        <v>6.25</v>
      </c>
      <c r="N200" s="107">
        <f>AVERAGE($E194:$E200)*'Assumptions and Rations'!G$28+AVERAGE($F194:$F200)*'Assumptions and Rations'!G$31+AVERAGE($G194:$G200)*'Assumptions and Rations'!G$29+AVERAGE($I194:$I200)*'Assumptions and Rations'!G$30+'Prices and Spreads'!J$11</f>
        <v>161.00389593809044</v>
      </c>
      <c r="O200" s="107">
        <f>AVERAGE($E196:$E200)*'Assumptions and Rations'!H$28+AVERAGE($F196:$F200)*'Assumptions and Rations'!H$31+AVERAGE($G196:$G200)*'Assumptions and Rations'!H$29+AVERAGE($I196:$I200)*'Assumptions and Rations'!H$30+'Prices and Spreads'!K$11</f>
        <v>143.45313797224978</v>
      </c>
      <c r="P200" s="107">
        <f>N200*0.5*$L193/100*7/12+'Prices and Spreads'!J$15*'Prices and Spreads'!J$7+'Prices and Spreads'!J$14+'Prices and Spreads'!J$12+'Prices and Spreads'!J$13*'Historic Prices'!B193*'Prices and Spreads'!J$4/100</f>
        <v>146.89293044605816</v>
      </c>
      <c r="Q200" s="107">
        <f>O200*0.5*$L195/100*5/12+'Prices and Spreads'!K$15*'Prices and Spreads'!K$7+'Prices and Spreads'!K$14+'Prices and Spreads'!K$12+'Prices and Spreads'!K$13*'Historic Prices'!D195*'Prices and Spreads'!K$4/100</f>
        <v>118.70552553926535</v>
      </c>
    </row>
    <row r="201" spans="1:17" ht="15">
      <c r="A201" s="93">
        <v>38443</v>
      </c>
      <c r="B201" s="84">
        <v>132.25</v>
      </c>
      <c r="C201" s="84">
        <v>113.67</v>
      </c>
      <c r="D201" s="84">
        <v>91.96</v>
      </c>
      <c r="E201" s="84">
        <v>1.9</v>
      </c>
      <c r="F201" s="84">
        <f>2000/56*E201*'Cattle Returns'!C$5*'Cattle Returns'!C$4</f>
        <v>24.42857142857143</v>
      </c>
      <c r="G201" s="84">
        <v>60</v>
      </c>
      <c r="H201" s="84">
        <v>300</v>
      </c>
      <c r="I201" s="84">
        <f t="shared" si="3"/>
        <v>19</v>
      </c>
      <c r="J201" s="84">
        <v>328.72</v>
      </c>
      <c r="K201" s="84">
        <v>160</v>
      </c>
      <c r="L201" s="84">
        <v>6.25</v>
      </c>
      <c r="N201" s="107">
        <f>AVERAGE($E195:$E201)*'Assumptions and Rations'!G$28+AVERAGE($F195:$F201)*'Assumptions and Rations'!G$31+AVERAGE($G195:$G201)*'Assumptions and Rations'!G$29+AVERAGE($I195:$I201)*'Assumptions and Rations'!G$30+'Prices and Spreads'!J$11</f>
        <v>160.00788466318582</v>
      </c>
      <c r="O201" s="107">
        <f>AVERAGE($E197:$E201)*'Assumptions and Rations'!H$28+AVERAGE($F197:$F201)*'Assumptions and Rations'!H$31+AVERAGE($G197:$G201)*'Assumptions and Rations'!H$29+AVERAGE($I197:$I201)*'Assumptions and Rations'!H$30+'Prices and Spreads'!K$11</f>
        <v>143.45313797224978</v>
      </c>
      <c r="P201" s="107">
        <f>N201*0.5*$L194/100*7/12+'Prices and Spreads'!J$15*'Prices and Spreads'!J$7+'Prices and Spreads'!J$14+'Prices and Spreads'!J$12+'Prices and Spreads'!J$13*'Historic Prices'!B194*'Prices and Spreads'!J$4/100</f>
        <v>146.00822776518987</v>
      </c>
      <c r="Q201" s="107">
        <f>O201*0.5*$L196/100*5/12+'Prices and Spreads'!K$15*'Prices and Spreads'!K$7+'Prices and Spreads'!K$14+'Prices and Spreads'!K$12+'Prices and Spreads'!K$13*'Historic Prices'!D196*'Prices and Spreads'!K$4/100</f>
        <v>118.67458803926536</v>
      </c>
    </row>
    <row r="202" spans="1:17" ht="15">
      <c r="A202" s="93">
        <v>38473</v>
      </c>
      <c r="B202" s="84">
        <v>134.59</v>
      </c>
      <c r="C202" s="84">
        <v>114.9</v>
      </c>
      <c r="D202" s="84">
        <v>89.03</v>
      </c>
      <c r="E202" s="84">
        <v>1.8</v>
      </c>
      <c r="F202" s="84">
        <f>2000/56*E202*'Cattle Returns'!C$5*'Cattle Returns'!C$4</f>
        <v>23.142857142857146</v>
      </c>
      <c r="G202" s="84">
        <v>60</v>
      </c>
      <c r="H202" s="84">
        <v>300</v>
      </c>
      <c r="I202" s="84">
        <f t="shared" si="3"/>
        <v>18</v>
      </c>
      <c r="J202" s="84">
        <v>332.38</v>
      </c>
      <c r="K202" s="84">
        <v>160</v>
      </c>
      <c r="L202" s="84">
        <v>6.25</v>
      </c>
      <c r="N202" s="107">
        <f>AVERAGE($E196:$E202)*'Assumptions and Rations'!G$28+AVERAGE($F196:$F202)*'Assumptions and Rations'!G$31+AVERAGE($G196:$G202)*'Assumptions and Rations'!G$29+AVERAGE($I196:$I202)*'Assumptions and Rations'!G$30+'Prices and Spreads'!J$11</f>
        <v>160.50589030063816</v>
      </c>
      <c r="O202" s="107">
        <f>AVERAGE($E198:$E202)*'Assumptions and Rations'!H$28+AVERAGE($F198:$F202)*'Assumptions and Rations'!H$31+AVERAGE($G198:$G202)*'Assumptions and Rations'!H$29+AVERAGE($I198:$I202)*'Assumptions and Rations'!H$30+'Prices and Spreads'!K$11</f>
        <v>142.19715087304803</v>
      </c>
      <c r="P202" s="107">
        <f>N202*0.5*$L195/100*7/12+'Prices and Spreads'!J$15*'Prices and Spreads'!J$7+'Prices and Spreads'!J$14+'Prices and Spreads'!J$12+'Prices and Spreads'!J$13*'Historic Prices'!B195*'Prices and Spreads'!J$4/100</f>
        <v>145.89741660562402</v>
      </c>
      <c r="Q202" s="107">
        <f>O202*0.5*$L197/100*5/12+'Prices and Spreads'!K$15*'Prices and Spreads'!K$7+'Prices and Spreads'!K$14+'Prices and Spreads'!K$12+'Prices and Spreads'!K$13*'Historic Prices'!D197*'Prices and Spreads'!K$4/100</f>
        <v>118.85932152042032</v>
      </c>
    </row>
    <row r="203" spans="1:17" ht="15">
      <c r="A203" s="93">
        <v>38504</v>
      </c>
      <c r="B203" s="84">
        <v>131.19</v>
      </c>
      <c r="C203" s="84">
        <v>116.63</v>
      </c>
      <c r="D203" s="84">
        <v>82.9</v>
      </c>
      <c r="E203" s="84">
        <v>1.9</v>
      </c>
      <c r="F203" s="84">
        <f>2000/56*E203*'Cattle Returns'!C$5*'Cattle Returns'!C$4</f>
        <v>24.42857142857143</v>
      </c>
      <c r="G203" s="84">
        <v>60</v>
      </c>
      <c r="H203" s="84">
        <v>300</v>
      </c>
      <c r="I203" s="84">
        <f t="shared" si="3"/>
        <v>19</v>
      </c>
      <c r="J203" s="84">
        <v>332.38</v>
      </c>
      <c r="K203" s="84">
        <v>160</v>
      </c>
      <c r="L203" s="84">
        <v>6.25</v>
      </c>
      <c r="N203" s="107">
        <f>AVERAGE($E197:$E203)*'Assumptions and Rations'!G$28+AVERAGE($F197:$F203)*'Assumptions and Rations'!G$31+AVERAGE($G197:$G203)*'Assumptions and Rations'!G$29+AVERAGE($I197:$I203)*'Assumptions and Rations'!G$30+'Prices and Spreads'!J$11</f>
        <v>160.50589030063816</v>
      </c>
      <c r="O203" s="107">
        <f>AVERAGE($E199:$E203)*'Assumptions and Rations'!H$28+AVERAGE($F199:$F203)*'Assumptions and Rations'!H$31+AVERAGE($G199:$G203)*'Assumptions and Rations'!H$29+AVERAGE($I199:$I203)*'Assumptions and Rations'!H$30+'Prices and Spreads'!K$11</f>
        <v>141.56915732344712</v>
      </c>
      <c r="P203" s="107">
        <f>N203*0.5*$L196/100*7/12+'Prices and Spreads'!J$15*'Prices and Spreads'!J$7+'Prices and Spreads'!J$14+'Prices and Spreads'!J$12+'Prices and Spreads'!J$13*'Historic Prices'!B196*'Prices and Spreads'!J$4/100</f>
        <v>145.838016605624</v>
      </c>
      <c r="Q203" s="107">
        <f>O203*0.5*$L198/100*5/12+'Prices and Spreads'!K$15*'Prices and Spreads'!K$7+'Prices and Spreads'!K$14+'Prices and Spreads'!K$12+'Prices and Spreads'!K$13*'Historic Prices'!D198*'Prices and Spreads'!K$4/100</f>
        <v>119.22239006931571</v>
      </c>
    </row>
    <row r="204" spans="1:17" ht="15">
      <c r="A204" s="93">
        <v>38534</v>
      </c>
      <c r="B204" s="84">
        <v>127.35</v>
      </c>
      <c r="C204" s="84">
        <v>113.53</v>
      </c>
      <c r="D204" s="84">
        <v>79.05</v>
      </c>
      <c r="E204" s="84">
        <v>2</v>
      </c>
      <c r="F204" s="84">
        <f>2000/56*E204*'Cattle Returns'!C$5*'Cattle Returns'!C$4</f>
        <v>25.71428571428572</v>
      </c>
      <c r="G204" s="84">
        <v>60</v>
      </c>
      <c r="H204" s="84">
        <v>300</v>
      </c>
      <c r="I204" s="84">
        <f t="shared" si="3"/>
        <v>20</v>
      </c>
      <c r="J204" s="84">
        <v>348.67</v>
      </c>
      <c r="K204" s="84">
        <v>160</v>
      </c>
      <c r="L204" s="84">
        <v>6.25</v>
      </c>
      <c r="N204" s="107">
        <f>AVERAGE($E198:$E204)*'Assumptions and Rations'!G$28+AVERAGE($F198:$F204)*'Assumptions and Rations'!G$31+AVERAGE($G198:$G204)*'Assumptions and Rations'!G$29+AVERAGE($I198:$I204)*'Assumptions and Rations'!G$30+'Prices and Spreads'!J$11</f>
        <v>161.5019015755428</v>
      </c>
      <c r="O204" s="107">
        <f>AVERAGE($E200:$E204)*'Assumptions and Rations'!H$28+AVERAGE($F200:$F204)*'Assumptions and Rations'!H$31+AVERAGE($G200:$G204)*'Assumptions and Rations'!H$29+AVERAGE($I200:$I204)*'Assumptions and Rations'!H$30+'Prices and Spreads'!K$11</f>
        <v>141.56915732344712</v>
      </c>
      <c r="P204" s="107">
        <f>N204*0.5*$L197/100*7/12+'Prices and Spreads'!J$15*'Prices and Spreads'!J$7+'Prices and Spreads'!J$14+'Prices and Spreads'!J$12+'Prices and Spreads'!J$13*'Historic Prices'!B197*'Prices and Spreads'!J$4/100</f>
        <v>145.89359428649226</v>
      </c>
      <c r="Q204" s="107">
        <f>O204*0.5*$L199/100*5/12+'Prices and Spreads'!K$15*'Prices and Spreads'!K$7+'Prices and Spreads'!K$14+'Prices and Spreads'!K$12+'Prices and Spreads'!K$13*'Historic Prices'!D199*'Prices and Spreads'!K$4/100</f>
        <v>119.17739006931572</v>
      </c>
    </row>
    <row r="205" spans="1:17" ht="15">
      <c r="A205" s="93">
        <v>38565</v>
      </c>
      <c r="B205" s="84">
        <v>125.5</v>
      </c>
      <c r="C205" s="84">
        <v>113</v>
      </c>
      <c r="D205" s="84">
        <v>80.02</v>
      </c>
      <c r="E205" s="84">
        <v>1.75</v>
      </c>
      <c r="F205" s="84">
        <f>2000/56*E205*'Cattle Returns'!C$5*'Cattle Returns'!C$4</f>
        <v>22.5</v>
      </c>
      <c r="G205" s="84">
        <v>60</v>
      </c>
      <c r="H205" s="84">
        <v>300</v>
      </c>
      <c r="I205" s="84">
        <f t="shared" si="3"/>
        <v>17.5</v>
      </c>
      <c r="J205" s="84">
        <v>330.18</v>
      </c>
      <c r="K205" s="84">
        <v>160</v>
      </c>
      <c r="L205" s="84">
        <v>6.25</v>
      </c>
      <c r="N205" s="107">
        <f>AVERAGE($E199:$E205)*'Assumptions and Rations'!G$28+AVERAGE($F199:$F205)*'Assumptions and Rations'!G$31+AVERAGE($G199:$G205)*'Assumptions and Rations'!G$29+AVERAGE($I199:$I205)*'Assumptions and Rations'!G$30+'Prices and Spreads'!J$11</f>
        <v>159.5098790257335</v>
      </c>
      <c r="O205" s="107">
        <f>AVERAGE($E201:$E205)*'Assumptions and Rations'!H$28+AVERAGE($F201:$F205)*'Assumptions and Rations'!H$31+AVERAGE($G201:$G205)*'Assumptions and Rations'!H$29+AVERAGE($I201:$I205)*'Assumptions and Rations'!H$30+'Prices and Spreads'!K$11</f>
        <v>139.0571831250436</v>
      </c>
      <c r="P205" s="107">
        <f>N205*0.5*$L198/100*7/12+'Prices and Spreads'!J$15*'Prices and Spreads'!J$7+'Prices and Spreads'!J$14+'Prices and Spreads'!J$12+'Prices and Spreads'!J$13*'Historic Prices'!B198*'Prices and Spreads'!J$4/100</f>
        <v>145.98039178512454</v>
      </c>
      <c r="Q205" s="107">
        <f>O205*0.5*$L200/100*5/12+'Prices and Spreads'!K$15*'Prices and Spreads'!K$7+'Prices and Spreads'!K$14+'Prices and Spreads'!K$12+'Prices and Spreads'!K$13*'Historic Prices'!D200*'Prices and Spreads'!K$4/100</f>
        <v>119.41749457194065</v>
      </c>
    </row>
    <row r="206" spans="1:17" ht="15">
      <c r="A206" s="93">
        <v>38596</v>
      </c>
      <c r="B206" s="84">
        <v>126.09</v>
      </c>
      <c r="C206" s="84">
        <v>114.98</v>
      </c>
      <c r="D206" s="84">
        <v>83.66</v>
      </c>
      <c r="E206" s="84">
        <v>1.55</v>
      </c>
      <c r="F206" s="84">
        <f>2000/56*E206*'Cattle Returns'!C$5*'Cattle Returns'!C$4</f>
        <v>19.92857142857143</v>
      </c>
      <c r="G206" s="84">
        <v>60</v>
      </c>
      <c r="H206" s="84">
        <v>300</v>
      </c>
      <c r="I206" s="84">
        <f t="shared" si="3"/>
        <v>15.5</v>
      </c>
      <c r="J206" s="84">
        <v>308.9</v>
      </c>
      <c r="K206" s="84">
        <v>160</v>
      </c>
      <c r="L206" s="84">
        <v>6.25</v>
      </c>
      <c r="N206" s="107">
        <f>AVERAGE($E200:$E206)*'Assumptions and Rations'!G$28+AVERAGE($F200:$F206)*'Assumptions and Rations'!G$31+AVERAGE($G200:$G206)*'Assumptions and Rations'!G$29+AVERAGE($I200:$I206)*'Assumptions and Rations'!G$30+'Prices and Spreads'!J$11</f>
        <v>155.02782828866268</v>
      </c>
      <c r="O206" s="107">
        <f>AVERAGE($E202:$E206)*'Assumptions and Rations'!H$28+AVERAGE($F202:$F206)*'Assumptions and Rations'!H$31+AVERAGE($G202:$G206)*'Assumptions and Rations'!H$29+AVERAGE($I202:$I206)*'Assumptions and Rations'!H$30+'Prices and Spreads'!K$11</f>
        <v>134.6612282778374</v>
      </c>
      <c r="P206" s="107">
        <f>N206*0.5*$L199/100*7/12+'Prices and Spreads'!J$15*'Prices and Spreads'!J$7+'Prices and Spreads'!J$14+'Prices and Spreads'!J$12+'Prices and Spreads'!J$13*'Historic Prices'!B199*'Prices and Spreads'!J$4/100</f>
        <v>146.30128773523003</v>
      </c>
      <c r="Q206" s="107">
        <f>O206*0.5*$L201/100*5/12+'Prices and Spreads'!K$15*'Prices and Spreads'!K$7+'Prices and Spreads'!K$14+'Prices and Spreads'!K$12+'Prices and Spreads'!K$13*'Historic Prices'!D201*'Prices and Spreads'!K$4/100</f>
        <v>119.34281807653433</v>
      </c>
    </row>
    <row r="207" spans="1:17" ht="15">
      <c r="A207" s="93">
        <v>38626</v>
      </c>
      <c r="B207" s="84">
        <v>126.06</v>
      </c>
      <c r="C207" s="84">
        <v>114.36</v>
      </c>
      <c r="D207" s="84">
        <v>86.64</v>
      </c>
      <c r="E207" s="84">
        <v>1.65</v>
      </c>
      <c r="F207" s="84">
        <f>2000/56*E207*'Cattle Returns'!C$5*'Cattle Returns'!C$4</f>
        <v>21.21428571428572</v>
      </c>
      <c r="G207" s="84">
        <v>60</v>
      </c>
      <c r="H207" s="84">
        <v>300</v>
      </c>
      <c r="I207" s="84">
        <f t="shared" si="3"/>
        <v>16.5</v>
      </c>
      <c r="J207" s="84">
        <v>303.17</v>
      </c>
      <c r="K207" s="84">
        <v>160</v>
      </c>
      <c r="L207" s="84">
        <v>6.25</v>
      </c>
      <c r="N207" s="107">
        <f>AVERAGE($E201:$E207)*'Assumptions and Rations'!G$28+AVERAGE($F201:$F207)*'Assumptions and Rations'!G$31+AVERAGE($G201:$G207)*'Assumptions and Rations'!G$29+AVERAGE($I201:$I207)*'Assumptions and Rations'!G$30+'Prices and Spreads'!J$11</f>
        <v>152.03979446394882</v>
      </c>
      <c r="O207" s="107">
        <f>AVERAGE($E203:$E207)*'Assumptions and Rations'!H$28+AVERAGE($F203:$F207)*'Assumptions and Rations'!H$31+AVERAGE($G203:$G207)*'Assumptions and Rations'!H$29+AVERAGE($I203:$I207)*'Assumptions and Rations'!H$30+'Prices and Spreads'!K$11</f>
        <v>132.77724762903478</v>
      </c>
      <c r="P207" s="107">
        <f>N207*0.5*$L200/100*7/12+'Prices and Spreads'!J$15*'Prices and Spreads'!J$7+'Prices and Spreads'!J$14+'Prices and Spreads'!J$12+'Prices and Spreads'!J$13*'Historic Prices'!B200*'Prices and Spreads'!J$4/100</f>
        <v>146.8762933686337</v>
      </c>
      <c r="Q207" s="107">
        <f>O207*0.5*$L202/100*5/12+'Prices and Spreads'!K$15*'Prices and Spreads'!K$7+'Prices and Spreads'!K$14+'Prices and Spreads'!K$12+'Prices and Spreads'!K$13*'Historic Prices'!D202*'Prices and Spreads'!K$4/100</f>
        <v>119.15347457850305</v>
      </c>
    </row>
    <row r="208" spans="1:17" ht="15">
      <c r="A208" s="93">
        <v>38657</v>
      </c>
      <c r="B208" s="84">
        <v>130.78</v>
      </c>
      <c r="C208" s="84">
        <v>114.9</v>
      </c>
      <c r="D208" s="84">
        <v>89.23</v>
      </c>
      <c r="E208" s="84">
        <v>1.64</v>
      </c>
      <c r="F208" s="84">
        <f>2000/56*E208*'Cattle Returns'!C$5*'Cattle Returns'!C$4</f>
        <v>21.08571428571429</v>
      </c>
      <c r="G208" s="84">
        <v>60</v>
      </c>
      <c r="H208" s="84">
        <v>300</v>
      </c>
      <c r="I208" s="84">
        <f t="shared" si="3"/>
        <v>16.4</v>
      </c>
      <c r="J208" s="84">
        <v>300</v>
      </c>
      <c r="K208" s="84">
        <v>160</v>
      </c>
      <c r="L208" s="84">
        <v>6.25</v>
      </c>
      <c r="N208" s="107">
        <f>AVERAGE($E202:$E208)*'Assumptions and Rations'!G$28+AVERAGE($F202:$F208)*'Assumptions and Rations'!G$31+AVERAGE($G202:$G208)*'Assumptions and Rations'!G$29+AVERAGE($I202:$I208)*'Assumptions and Rations'!G$30+'Prices and Spreads'!J$11</f>
        <v>149.45016514919678</v>
      </c>
      <c r="O208" s="107">
        <f>AVERAGE($E204:$E208)*'Assumptions and Rations'!H$28+AVERAGE($F204:$F208)*'Assumptions and Rations'!H$31+AVERAGE($G204:$G208)*'Assumptions and Rations'!H$29+AVERAGE($I204:$I208)*'Assumptions and Rations'!H$30+'Prices and Spreads'!K$11</f>
        <v>129.51168117111018</v>
      </c>
      <c r="P208" s="107">
        <f>N208*0.5*$L201/100*7/12+'Prices and Spreads'!J$15*'Prices and Spreads'!J$7+'Prices and Spreads'!J$14+'Prices and Spreads'!J$12+'Prices and Spreads'!J$13*'Historic Prices'!B201*'Prices and Spreads'!J$4/100</f>
        <v>146.95036158425017</v>
      </c>
      <c r="Q208" s="107">
        <f>O208*0.5*$L203/100*5/12+'Prices and Spreads'!K$15*'Prices and Spreads'!K$7+'Prices and Spreads'!K$14+'Prices and Spreads'!K$12+'Prices and Spreads'!K$13*'Historic Prices'!D203*'Prices and Spreads'!K$4/100</f>
        <v>118.76614168191549</v>
      </c>
    </row>
    <row r="209" spans="1:17" ht="15">
      <c r="A209" s="93">
        <v>38687</v>
      </c>
      <c r="B209" s="84">
        <v>132.25</v>
      </c>
      <c r="C209" s="84">
        <v>116.63</v>
      </c>
      <c r="D209" s="84">
        <v>93.42</v>
      </c>
      <c r="E209" s="84">
        <v>1.63</v>
      </c>
      <c r="F209" s="84">
        <f>2000/56*E209*'Cattle Returns'!C$5*'Cattle Returns'!C$4</f>
        <v>20.95714285714286</v>
      </c>
      <c r="G209" s="84">
        <v>60</v>
      </c>
      <c r="H209" s="84">
        <v>300</v>
      </c>
      <c r="I209" s="84">
        <f t="shared" si="3"/>
        <v>16.299999999999997</v>
      </c>
      <c r="J209" s="84">
        <v>300</v>
      </c>
      <c r="K209" s="84">
        <v>160</v>
      </c>
      <c r="L209" s="84">
        <v>6.25</v>
      </c>
      <c r="N209" s="107">
        <f>AVERAGE($E203:$E209)*'Assumptions and Rations'!G$28+AVERAGE($F203:$F209)*'Assumptions and Rations'!G$31+AVERAGE($G203:$G209)*'Assumptions and Rations'!G$29+AVERAGE($I203:$I209)*'Assumptions and Rations'!G$30+'Prices and Spreads'!J$11</f>
        <v>147.75694598185893</v>
      </c>
      <c r="O209" s="107">
        <f>AVERAGE($E205:$E209)*'Assumptions and Rations'!H$28+AVERAGE($F205:$F209)*'Assumptions and Rations'!H$31+AVERAGE($G205:$G209)*'Assumptions and Rations'!H$29+AVERAGE($I205:$I209)*'Assumptions and Rations'!H$30+'Prices and Spreads'!K$11</f>
        <v>124.86452890406363</v>
      </c>
      <c r="P209" s="107">
        <f>N209*0.5*$L202/100*7/12+'Prices and Spreads'!J$15*'Prices and Spreads'!J$7+'Prices and Spreads'!J$14+'Prices and Spreads'!J$12+'Prices and Spreads'!J$13*'Historic Prices'!B202*'Prices and Spreads'!J$4/100</f>
        <v>147.1125456098456</v>
      </c>
      <c r="Q209" s="107">
        <f>O209*0.5*$L204/100*5/12+'Prices and Spreads'!K$15*'Prices and Spreads'!K$7+'Prices and Spreads'!K$14+'Prices and Spreads'!K$12+'Prices and Spreads'!K$13*'Historic Prices'!D204*'Prices and Spreads'!K$4/100</f>
        <v>118.48906938677165</v>
      </c>
    </row>
    <row r="210" spans="14:17" ht="15">
      <c r="N210" s="107"/>
      <c r="O210" s="107"/>
      <c r="P210" s="107"/>
      <c r="Q210" s="107"/>
    </row>
    <row r="211" spans="14:17" ht="15">
      <c r="N211" s="107"/>
      <c r="O211" s="107"/>
      <c r="P211" s="107"/>
      <c r="Q211" s="107"/>
    </row>
    <row r="212" spans="1:17" ht="15">
      <c r="A212" s="93" t="s">
        <v>331</v>
      </c>
      <c r="B212" s="84">
        <f>AVERAGE(B90:B209)</f>
        <v>95.85994791666673</v>
      </c>
      <c r="C212" s="84">
        <f>AVERAGE(C90:C209)</f>
        <v>85.50814375</v>
      </c>
      <c r="D212" s="84">
        <f>AVERAGE(D90:D209)</f>
        <v>72.09299479166663</v>
      </c>
      <c r="N212" s="107"/>
      <c r="O212" s="107"/>
      <c r="P212" s="107"/>
      <c r="Q212" s="107"/>
    </row>
    <row r="213" spans="14:17" ht="15">
      <c r="N213" s="107"/>
      <c r="O213" s="107"/>
      <c r="P213" s="107"/>
      <c r="Q213" s="107"/>
    </row>
    <row r="214" spans="14:17" ht="15">
      <c r="N214" s="107"/>
      <c r="O214" s="107"/>
      <c r="P214" s="107"/>
      <c r="Q214" s="107"/>
    </row>
    <row r="215" spans="14:17" ht="15">
      <c r="N215" s="107"/>
      <c r="O215" s="107"/>
      <c r="P215" s="107"/>
      <c r="Q215" s="107"/>
    </row>
    <row r="216" spans="14:17" ht="15">
      <c r="N216" s="107"/>
      <c r="O216" s="107"/>
      <c r="P216" s="107"/>
      <c r="Q216" s="107"/>
    </row>
    <row r="217" spans="14:17" ht="15">
      <c r="N217" s="107"/>
      <c r="O217" s="107"/>
      <c r="P217" s="107"/>
      <c r="Q217" s="107"/>
    </row>
    <row r="218" spans="1:6" ht="15">
      <c r="A218" s="93" t="s">
        <v>323</v>
      </c>
      <c r="B218" s="84" t="s">
        <v>227</v>
      </c>
      <c r="C218" s="84" t="s">
        <v>254</v>
      </c>
      <c r="D218" s="84" t="s">
        <v>324</v>
      </c>
      <c r="E218" s="84" t="s">
        <v>325</v>
      </c>
      <c r="F218" s="84" t="s">
        <v>274</v>
      </c>
    </row>
    <row r="219" spans="1:20" ht="15">
      <c r="A219" s="108" t="s">
        <v>315</v>
      </c>
      <c r="B219" s="84">
        <f aca="true" t="shared" si="4" ref="B219:F228">(B198+B186+B174+B162+B150+B138+B126+B114+B102+B90+B78+B66+B54+B42+B30+B18+B6)/17</f>
        <v>91.8335294117647</v>
      </c>
      <c r="C219" s="84">
        <f t="shared" si="4"/>
        <v>82.47242647058823</v>
      </c>
      <c r="D219" s="84">
        <f t="shared" si="4"/>
        <v>72.7305882352941</v>
      </c>
      <c r="E219" s="84">
        <f t="shared" si="4"/>
        <v>2.2147058823529413</v>
      </c>
      <c r="F219" s="84">
        <f t="shared" si="4"/>
        <v>28.47478991596639</v>
      </c>
      <c r="H219" s="84" t="s">
        <v>323</v>
      </c>
      <c r="I219" s="84" t="s">
        <v>315</v>
      </c>
      <c r="J219" s="84" t="s">
        <v>316</v>
      </c>
      <c r="K219" s="84" t="s">
        <v>317</v>
      </c>
      <c r="L219" s="84" t="s">
        <v>318</v>
      </c>
      <c r="M219" t="s">
        <v>317</v>
      </c>
      <c r="N219" s="106" t="s">
        <v>315</v>
      </c>
      <c r="O219" s="106" t="s">
        <v>315</v>
      </c>
      <c r="P219" s="106" t="s">
        <v>318</v>
      </c>
      <c r="Q219" s="106" t="s">
        <v>319</v>
      </c>
      <c r="R219" t="s">
        <v>320</v>
      </c>
      <c r="S219" t="s">
        <v>321</v>
      </c>
      <c r="T219" t="s">
        <v>322</v>
      </c>
    </row>
    <row r="220" spans="1:20" ht="15">
      <c r="A220" s="108" t="s">
        <v>316</v>
      </c>
      <c r="B220" s="84">
        <f t="shared" si="4"/>
        <v>94.27529411764705</v>
      </c>
      <c r="C220" s="84">
        <f t="shared" si="4"/>
        <v>81.39352941176472</v>
      </c>
      <c r="D220" s="84">
        <f t="shared" si="4"/>
        <v>73.12529411764707</v>
      </c>
      <c r="E220" s="84">
        <f t="shared" si="4"/>
        <v>2.2664705882352942</v>
      </c>
      <c r="F220" s="84">
        <f t="shared" si="4"/>
        <v>29.140336134453783</v>
      </c>
      <c r="H220" s="84" t="s">
        <v>227</v>
      </c>
      <c r="I220" s="84">
        <v>91.8335294117647</v>
      </c>
      <c r="J220" s="84">
        <v>94.27529411764705</v>
      </c>
      <c r="K220" s="84">
        <v>97.11588235294118</v>
      </c>
      <c r="L220" s="84">
        <v>97.6035294117647</v>
      </c>
      <c r="M220">
        <v>95.26132352941178</v>
      </c>
      <c r="N220" s="106">
        <v>95.18264705882353</v>
      </c>
      <c r="O220" s="106">
        <v>95.091</v>
      </c>
      <c r="P220" s="106">
        <v>94.33735294117646</v>
      </c>
      <c r="Q220" s="106">
        <v>92.08588235294117</v>
      </c>
      <c r="R220">
        <v>90.43399999999998</v>
      </c>
      <c r="S220">
        <v>92.61625</v>
      </c>
      <c r="T220">
        <v>93.65235294117647</v>
      </c>
    </row>
    <row r="221" spans="1:20" ht="15">
      <c r="A221" s="108" t="s">
        <v>317</v>
      </c>
      <c r="B221" s="84">
        <f t="shared" si="4"/>
        <v>97.11588235294118</v>
      </c>
      <c r="C221" s="84">
        <f t="shared" si="4"/>
        <v>80.78117647058822</v>
      </c>
      <c r="D221" s="84">
        <f t="shared" si="4"/>
        <v>74.96411764705883</v>
      </c>
      <c r="E221" s="84">
        <f t="shared" si="4"/>
        <v>2.3270588235294114</v>
      </c>
      <c r="F221" s="84">
        <f t="shared" si="4"/>
        <v>29.91932773109244</v>
      </c>
      <c r="H221" s="84" t="s">
        <v>254</v>
      </c>
      <c r="I221" s="84">
        <v>82.47242647058823</v>
      </c>
      <c r="J221" s="84">
        <v>81.39352941176472</v>
      </c>
      <c r="K221" s="84">
        <v>80.78117647058822</v>
      </c>
      <c r="L221" s="84">
        <v>81.54647058823531</v>
      </c>
      <c r="M221">
        <v>82.25507352941177</v>
      </c>
      <c r="N221" s="106">
        <v>84.77338235294118</v>
      </c>
      <c r="O221" s="106">
        <v>85.87929411764708</v>
      </c>
      <c r="P221" s="106">
        <v>85.86080882352942</v>
      </c>
      <c r="Q221" s="106">
        <v>85.74345588235296</v>
      </c>
      <c r="R221">
        <v>85.6534117647059</v>
      </c>
      <c r="S221">
        <v>86.13433823529412</v>
      </c>
      <c r="T221">
        <v>87.04470588235294</v>
      </c>
    </row>
    <row r="222" spans="1:20" ht="15">
      <c r="A222" s="108" t="s">
        <v>318</v>
      </c>
      <c r="B222" s="84">
        <f t="shared" si="4"/>
        <v>97.6035294117647</v>
      </c>
      <c r="C222" s="84">
        <f t="shared" si="4"/>
        <v>81.54647058823531</v>
      </c>
      <c r="D222" s="84">
        <f t="shared" si="4"/>
        <v>74.69608088235293</v>
      </c>
      <c r="E222" s="84">
        <f t="shared" si="4"/>
        <v>2.354705882352942</v>
      </c>
      <c r="F222" s="84">
        <f t="shared" si="4"/>
        <v>30.274789915966394</v>
      </c>
      <c r="H222" s="84" t="s">
        <v>324</v>
      </c>
      <c r="I222" s="84">
        <v>72.7305882352941</v>
      </c>
      <c r="J222" s="84">
        <v>73.12529411764707</v>
      </c>
      <c r="K222" s="84">
        <v>74.96411764705883</v>
      </c>
      <c r="L222" s="84">
        <v>74.69608088235293</v>
      </c>
      <c r="M222">
        <v>73.23470588235294</v>
      </c>
      <c r="N222" s="106">
        <v>71.23176470588236</v>
      </c>
      <c r="O222" s="106">
        <v>69.77858823529412</v>
      </c>
      <c r="P222" s="106">
        <v>70.13823529411765</v>
      </c>
      <c r="Q222" s="106">
        <v>70.4135294117647</v>
      </c>
      <c r="R222">
        <v>72.14294117647057</v>
      </c>
      <c r="S222">
        <v>73.5829411764706</v>
      </c>
      <c r="T222">
        <v>73.41764705882352</v>
      </c>
    </row>
    <row r="223" spans="1:6" ht="15">
      <c r="A223" s="108" t="s">
        <v>317</v>
      </c>
      <c r="B223" s="84">
        <f t="shared" si="4"/>
        <v>95.26132352941178</v>
      </c>
      <c r="C223" s="84">
        <f t="shared" si="4"/>
        <v>82.25507352941177</v>
      </c>
      <c r="D223" s="84">
        <f t="shared" si="4"/>
        <v>73.23470588235294</v>
      </c>
      <c r="E223" s="84">
        <f t="shared" si="4"/>
        <v>2.341764705882353</v>
      </c>
      <c r="F223" s="84">
        <f t="shared" si="4"/>
        <v>30.108403361344536</v>
      </c>
    </row>
    <row r="224" spans="1:20" ht="15">
      <c r="A224" s="108" t="s">
        <v>315</v>
      </c>
      <c r="B224" s="84">
        <f t="shared" si="4"/>
        <v>95.18264705882353</v>
      </c>
      <c r="C224" s="84">
        <f t="shared" si="4"/>
        <v>84.77338235294118</v>
      </c>
      <c r="D224" s="84">
        <f t="shared" si="4"/>
        <v>71.23176470588236</v>
      </c>
      <c r="E224" s="84">
        <f t="shared" si="4"/>
        <v>2.298235294117647</v>
      </c>
      <c r="F224" s="84">
        <f t="shared" si="4"/>
        <v>29.548739495798323</v>
      </c>
      <c r="I224" s="84" t="s">
        <v>315</v>
      </c>
      <c r="J224" s="84" t="s">
        <v>316</v>
      </c>
      <c r="K224" s="84" t="s">
        <v>317</v>
      </c>
      <c r="L224" s="84" t="s">
        <v>318</v>
      </c>
      <c r="M224" s="84" t="s">
        <v>317</v>
      </c>
      <c r="N224" t="s">
        <v>315</v>
      </c>
      <c r="O224" s="106" t="s">
        <v>315</v>
      </c>
      <c r="P224" s="106" t="s">
        <v>318</v>
      </c>
      <c r="Q224" s="106" t="s">
        <v>319</v>
      </c>
      <c r="R224" s="106" t="s">
        <v>320</v>
      </c>
      <c r="S224" t="s">
        <v>321</v>
      </c>
      <c r="T224" t="s">
        <v>322</v>
      </c>
    </row>
    <row r="225" spans="1:20" ht="15">
      <c r="A225" s="108" t="s">
        <v>315</v>
      </c>
      <c r="B225" s="84">
        <f t="shared" si="4"/>
        <v>95.091</v>
      </c>
      <c r="C225" s="84">
        <f t="shared" si="4"/>
        <v>85.87929411764708</v>
      </c>
      <c r="D225" s="84">
        <f t="shared" si="4"/>
        <v>69.77858823529412</v>
      </c>
      <c r="E225" s="84">
        <f t="shared" si="4"/>
        <v>2.2276470588235298</v>
      </c>
      <c r="F225" s="84">
        <f t="shared" si="4"/>
        <v>28.64117647058824</v>
      </c>
      <c r="I225" s="84">
        <v>105.05333333333333</v>
      </c>
      <c r="J225" s="84">
        <v>107.9</v>
      </c>
      <c r="K225" s="84">
        <v>113.32</v>
      </c>
      <c r="L225" s="84">
        <v>115.15666666666668</v>
      </c>
      <c r="M225" s="84">
        <v>118.18416666666667</v>
      </c>
      <c r="N225">
        <v>118.28833333333334</v>
      </c>
      <c r="O225" s="106">
        <v>119.58900000000001</v>
      </c>
      <c r="P225" s="106">
        <v>119.67166666666667</v>
      </c>
      <c r="Q225" s="106">
        <v>117.42333333333333</v>
      </c>
      <c r="R225" s="106">
        <v>117.68933333333332</v>
      </c>
      <c r="S225">
        <v>120.03541666666668</v>
      </c>
      <c r="T225">
        <v>120.53333333333335</v>
      </c>
    </row>
    <row r="226" spans="1:20" ht="15">
      <c r="A226" s="108" t="s">
        <v>318</v>
      </c>
      <c r="B226" s="84">
        <f t="shared" si="4"/>
        <v>94.33735294117646</v>
      </c>
      <c r="C226" s="84">
        <f t="shared" si="4"/>
        <v>85.86080882352942</v>
      </c>
      <c r="D226" s="84">
        <f t="shared" si="4"/>
        <v>70.13823529411765</v>
      </c>
      <c r="E226" s="84">
        <f t="shared" si="4"/>
        <v>2.189411764705883</v>
      </c>
      <c r="F226" s="84">
        <f t="shared" si="4"/>
        <v>28.14957983193278</v>
      </c>
      <c r="I226" s="84">
        <v>91.52375</v>
      </c>
      <c r="J226" s="84">
        <v>90.00333333333333</v>
      </c>
      <c r="K226" s="84">
        <v>92.55666666666667</v>
      </c>
      <c r="L226" s="84">
        <v>97.55333333333333</v>
      </c>
      <c r="M226" s="84">
        <v>101.58875</v>
      </c>
      <c r="N226">
        <v>106.16916666666667</v>
      </c>
      <c r="O226" s="106">
        <v>107.806</v>
      </c>
      <c r="P226" s="106">
        <v>109.55125</v>
      </c>
      <c r="Q226" s="106">
        <v>111.08958333333334</v>
      </c>
      <c r="R226" s="106">
        <v>111.276</v>
      </c>
      <c r="S226">
        <v>109.42125</v>
      </c>
      <c r="T226">
        <v>108.68666666666667</v>
      </c>
    </row>
    <row r="227" spans="1:20" ht="15">
      <c r="A227" s="108" t="s">
        <v>319</v>
      </c>
      <c r="B227" s="84">
        <f t="shared" si="4"/>
        <v>92.08588235294117</v>
      </c>
      <c r="C227" s="84">
        <f t="shared" si="4"/>
        <v>85.74345588235296</v>
      </c>
      <c r="D227" s="84">
        <f t="shared" si="4"/>
        <v>70.4135294117647</v>
      </c>
      <c r="E227" s="84">
        <f t="shared" si="4"/>
        <v>2.1082352941176468</v>
      </c>
      <c r="F227" s="84">
        <f t="shared" si="4"/>
        <v>27.10588235294118</v>
      </c>
      <c r="I227" s="84">
        <v>81.95</v>
      </c>
      <c r="J227" s="84">
        <v>80.96666666666668</v>
      </c>
      <c r="K227" s="84">
        <v>84.79666666666667</v>
      </c>
      <c r="L227" s="84">
        <v>86.05333333333333</v>
      </c>
      <c r="M227" s="84">
        <v>85.42</v>
      </c>
      <c r="N227">
        <v>82.66666666666667</v>
      </c>
      <c r="O227" s="106">
        <v>80.06866666666667</v>
      </c>
      <c r="P227" s="106">
        <v>81.41666666666667</v>
      </c>
      <c r="Q227" s="106">
        <v>84.72</v>
      </c>
      <c r="R227" s="106">
        <v>90.52666666666666</v>
      </c>
      <c r="S227">
        <v>91.53333333333335</v>
      </c>
      <c r="T227">
        <v>90.39333333333333</v>
      </c>
    </row>
    <row r="228" spans="1:6" ht="15">
      <c r="A228" s="108" t="s">
        <v>320</v>
      </c>
      <c r="B228" s="84">
        <f t="shared" si="4"/>
        <v>90.43399999999998</v>
      </c>
      <c r="C228" s="84">
        <f t="shared" si="4"/>
        <v>85.6534117647059</v>
      </c>
      <c r="D228" s="84">
        <f t="shared" si="4"/>
        <v>72.14294117647057</v>
      </c>
      <c r="E228" s="84">
        <f t="shared" si="4"/>
        <v>2.0611764705882356</v>
      </c>
      <c r="F228" s="84">
        <f t="shared" si="4"/>
        <v>26.50084033613446</v>
      </c>
    </row>
    <row r="229" spans="1:20" ht="15">
      <c r="A229" s="108" t="s">
        <v>321</v>
      </c>
      <c r="B229" s="84">
        <f aca="true" t="shared" si="5" ref="B229:F230">(B208+B196+B184+B172+B160+B148+B136+B124+B112+B100+B88+B76+B64+B52+B40+B28+B16)/17</f>
        <v>92.61625000000001</v>
      </c>
      <c r="C229" s="84">
        <f t="shared" si="5"/>
        <v>86.13433823529412</v>
      </c>
      <c r="D229" s="84">
        <f t="shared" si="5"/>
        <v>73.5829411764706</v>
      </c>
      <c r="E229" s="84">
        <f t="shared" si="5"/>
        <v>2.090588235294118</v>
      </c>
      <c r="F229" s="84">
        <f t="shared" si="5"/>
        <v>26.878991596638656</v>
      </c>
      <c r="I229" s="84" t="s">
        <v>315</v>
      </c>
      <c r="J229" s="84" t="s">
        <v>316</v>
      </c>
      <c r="K229" s="84" t="s">
        <v>317</v>
      </c>
      <c r="L229" s="84" t="s">
        <v>318</v>
      </c>
      <c r="M229" t="s">
        <v>317</v>
      </c>
      <c r="N229" s="106" t="s">
        <v>315</v>
      </c>
      <c r="O229" s="106" t="s">
        <v>315</v>
      </c>
      <c r="P229" s="106" t="s">
        <v>318</v>
      </c>
      <c r="Q229" s="106" t="s">
        <v>319</v>
      </c>
      <c r="R229" t="s">
        <v>320</v>
      </c>
      <c r="S229" t="s">
        <v>321</v>
      </c>
      <c r="T229" t="s">
        <v>322</v>
      </c>
    </row>
    <row r="230" spans="1:20" ht="15">
      <c r="A230" s="108" t="s">
        <v>322</v>
      </c>
      <c r="B230" s="84">
        <f t="shared" si="5"/>
        <v>93.65235294117647</v>
      </c>
      <c r="C230" s="84">
        <f t="shared" si="5"/>
        <v>87.04470588235294</v>
      </c>
      <c r="D230" s="84">
        <f t="shared" si="5"/>
        <v>73.41764705882352</v>
      </c>
      <c r="E230" s="84">
        <f t="shared" si="5"/>
        <v>2.121176470588235</v>
      </c>
      <c r="F230" s="84">
        <f t="shared" si="5"/>
        <v>27.272268907563024</v>
      </c>
      <c r="I230" s="84">
        <v>74.33</v>
      </c>
      <c r="J230" s="84">
        <v>76.80666666666667</v>
      </c>
      <c r="K230" s="84">
        <v>79.85333333333334</v>
      </c>
      <c r="L230" s="84">
        <v>80.05666666666666</v>
      </c>
      <c r="M230">
        <v>79.66333333333334</v>
      </c>
      <c r="N230" s="106">
        <v>75.94333333333333</v>
      </c>
      <c r="O230" s="106">
        <v>74.82</v>
      </c>
      <c r="P230" s="106">
        <v>76.87333333333333</v>
      </c>
      <c r="Q230" s="106">
        <v>75.01333333333334</v>
      </c>
      <c r="R230">
        <v>75.08</v>
      </c>
      <c r="S230">
        <v>77.36</v>
      </c>
      <c r="T230">
        <v>78.99</v>
      </c>
    </row>
    <row r="231" spans="9:20" ht="15">
      <c r="I231" s="84">
        <v>69.45333333333333</v>
      </c>
      <c r="J231" s="84">
        <v>68.12666666666667</v>
      </c>
      <c r="K231" s="84">
        <v>66.87666666666667</v>
      </c>
      <c r="L231" s="84">
        <v>67.38666666666667</v>
      </c>
      <c r="M231">
        <v>69.62</v>
      </c>
      <c r="N231" s="106">
        <v>70.58333333333333</v>
      </c>
      <c r="O231" s="106">
        <v>70.70666666666666</v>
      </c>
      <c r="P231" s="106">
        <v>70.69333333333334</v>
      </c>
      <c r="Q231" s="106">
        <v>70.48</v>
      </c>
      <c r="R231">
        <v>71.11333333333333</v>
      </c>
      <c r="S231">
        <v>71.12333333333333</v>
      </c>
      <c r="T231">
        <v>72.90333333333334</v>
      </c>
    </row>
    <row r="232" spans="9:20" ht="15">
      <c r="I232" s="84">
        <v>64.43333333333334</v>
      </c>
      <c r="J232" s="84">
        <v>62.77666666666667</v>
      </c>
      <c r="K232" s="84">
        <v>63.663333333333334</v>
      </c>
      <c r="L232" s="84">
        <v>63.38333333333333</v>
      </c>
      <c r="M232">
        <v>63.75666666666667</v>
      </c>
      <c r="N232" s="106">
        <v>62.77333333333333</v>
      </c>
      <c r="O232" s="106">
        <v>62.47333333333333</v>
      </c>
      <c r="P232" s="106">
        <v>64.24333333333334</v>
      </c>
      <c r="Q232" s="106">
        <v>64.36</v>
      </c>
      <c r="R232">
        <v>65.86666666666666</v>
      </c>
      <c r="S232">
        <v>66.50666666666666</v>
      </c>
      <c r="T232">
        <v>63.89666666666667</v>
      </c>
    </row>
    <row r="233" ht="15">
      <c r="A233" s="93" t="s">
        <v>326</v>
      </c>
    </row>
    <row r="234" spans="1:4" ht="15">
      <c r="A234" s="108" t="s">
        <v>315</v>
      </c>
      <c r="B234" s="84">
        <f aca="true" t="shared" si="6" ref="B234:D243">(B198+B186+B174)/3</f>
        <v>105.05333333333333</v>
      </c>
      <c r="C234" s="84">
        <f t="shared" si="6"/>
        <v>91.52374999999999</v>
      </c>
      <c r="D234" s="84">
        <f t="shared" si="6"/>
        <v>81.95</v>
      </c>
    </row>
    <row r="235" spans="1:4" ht="15">
      <c r="A235" s="108" t="s">
        <v>316</v>
      </c>
      <c r="B235" s="84">
        <f t="shared" si="6"/>
        <v>107.90000000000002</v>
      </c>
      <c r="C235" s="84">
        <f t="shared" si="6"/>
        <v>90.00333333333333</v>
      </c>
      <c r="D235" s="84">
        <f t="shared" si="6"/>
        <v>80.96666666666668</v>
      </c>
    </row>
    <row r="236" spans="1:4" ht="15">
      <c r="A236" s="108" t="s">
        <v>317</v>
      </c>
      <c r="B236" s="84">
        <f t="shared" si="6"/>
        <v>113.32000000000001</v>
      </c>
      <c r="C236" s="84">
        <f t="shared" si="6"/>
        <v>92.55666666666667</v>
      </c>
      <c r="D236" s="84">
        <f t="shared" si="6"/>
        <v>84.79666666666667</v>
      </c>
    </row>
    <row r="237" spans="1:4" ht="15">
      <c r="A237" s="108" t="s">
        <v>318</v>
      </c>
      <c r="B237" s="84">
        <f t="shared" si="6"/>
        <v>115.15666666666668</v>
      </c>
      <c r="C237" s="84">
        <f t="shared" si="6"/>
        <v>97.55333333333333</v>
      </c>
      <c r="D237" s="84">
        <f t="shared" si="6"/>
        <v>86.05333333333333</v>
      </c>
    </row>
    <row r="238" spans="1:4" ht="15">
      <c r="A238" s="108" t="s">
        <v>317</v>
      </c>
      <c r="B238" s="84">
        <f t="shared" si="6"/>
        <v>118.18416666666667</v>
      </c>
      <c r="C238" s="84">
        <f t="shared" si="6"/>
        <v>101.58875</v>
      </c>
      <c r="D238" s="84">
        <f t="shared" si="6"/>
        <v>85.42</v>
      </c>
    </row>
    <row r="239" spans="1:4" ht="15">
      <c r="A239" s="108" t="s">
        <v>315</v>
      </c>
      <c r="B239" s="84">
        <f t="shared" si="6"/>
        <v>118.28833333333334</v>
      </c>
      <c r="C239" s="84">
        <f t="shared" si="6"/>
        <v>106.16916666666667</v>
      </c>
      <c r="D239" s="84">
        <f t="shared" si="6"/>
        <v>82.66666666666667</v>
      </c>
    </row>
    <row r="240" spans="1:4" ht="15">
      <c r="A240" s="108" t="s">
        <v>315</v>
      </c>
      <c r="B240" s="84">
        <f t="shared" si="6"/>
        <v>119.58900000000001</v>
      </c>
      <c r="C240" s="84">
        <f t="shared" si="6"/>
        <v>107.806</v>
      </c>
      <c r="D240" s="84">
        <f t="shared" si="6"/>
        <v>80.06866666666667</v>
      </c>
    </row>
    <row r="241" spans="1:4" ht="15">
      <c r="A241" s="108" t="s">
        <v>318</v>
      </c>
      <c r="B241" s="84">
        <f t="shared" si="6"/>
        <v>119.67166666666667</v>
      </c>
      <c r="C241" s="84">
        <f t="shared" si="6"/>
        <v>109.55125</v>
      </c>
      <c r="D241" s="84">
        <f t="shared" si="6"/>
        <v>81.41666666666667</v>
      </c>
    </row>
    <row r="242" spans="1:4" ht="15">
      <c r="A242" s="108" t="s">
        <v>319</v>
      </c>
      <c r="B242" s="84">
        <f t="shared" si="6"/>
        <v>117.42333333333333</v>
      </c>
      <c r="C242" s="84">
        <f t="shared" si="6"/>
        <v>111.08958333333334</v>
      </c>
      <c r="D242" s="84">
        <f t="shared" si="6"/>
        <v>84.72</v>
      </c>
    </row>
    <row r="243" spans="1:4" ht="15">
      <c r="A243" s="108" t="s">
        <v>320</v>
      </c>
      <c r="B243" s="84">
        <f t="shared" si="6"/>
        <v>117.68933333333332</v>
      </c>
      <c r="C243" s="84">
        <f t="shared" si="6"/>
        <v>111.276</v>
      </c>
      <c r="D243" s="84">
        <f t="shared" si="6"/>
        <v>90.52666666666666</v>
      </c>
    </row>
    <row r="244" spans="1:4" ht="15">
      <c r="A244" s="108" t="s">
        <v>321</v>
      </c>
      <c r="B244" s="84">
        <f aca="true" t="shared" si="7" ref="B244:D245">(B208+B196+B184)/3</f>
        <v>120.03541666666668</v>
      </c>
      <c r="C244" s="84">
        <f t="shared" si="7"/>
        <v>109.42125</v>
      </c>
      <c r="D244" s="84">
        <f t="shared" si="7"/>
        <v>91.53333333333335</v>
      </c>
    </row>
    <row r="245" spans="1:4" ht="15">
      <c r="A245" s="108" t="s">
        <v>322</v>
      </c>
      <c r="B245" s="84">
        <f t="shared" si="7"/>
        <v>120.53333333333335</v>
      </c>
      <c r="C245" s="84">
        <f t="shared" si="7"/>
        <v>108.68666666666667</v>
      </c>
      <c r="D245" s="84">
        <f t="shared" si="7"/>
        <v>90.39333333333333</v>
      </c>
    </row>
    <row r="247" ht="15">
      <c r="A247" s="93" t="s">
        <v>327</v>
      </c>
    </row>
    <row r="248" spans="1:4" ht="15">
      <c r="A248" s="108" t="s">
        <v>315</v>
      </c>
      <c r="B248" s="84">
        <f aca="true" t="shared" si="8" ref="B248:D257">(B90+B102+B114)/3</f>
        <v>74.33</v>
      </c>
      <c r="C248" s="84">
        <f t="shared" si="8"/>
        <v>69.45333333333333</v>
      </c>
      <c r="D248" s="84">
        <f t="shared" si="8"/>
        <v>64.43333333333334</v>
      </c>
    </row>
    <row r="249" spans="1:4" ht="15">
      <c r="A249" s="108" t="s">
        <v>316</v>
      </c>
      <c r="B249" s="84">
        <f t="shared" si="8"/>
        <v>76.80666666666667</v>
      </c>
      <c r="C249" s="84">
        <f t="shared" si="8"/>
        <v>68.12666666666667</v>
      </c>
      <c r="D249" s="84">
        <f t="shared" si="8"/>
        <v>62.77666666666667</v>
      </c>
    </row>
    <row r="250" spans="1:4" ht="15">
      <c r="A250" s="108" t="s">
        <v>317</v>
      </c>
      <c r="B250" s="84">
        <f t="shared" si="8"/>
        <v>79.85333333333334</v>
      </c>
      <c r="C250" s="84">
        <f t="shared" si="8"/>
        <v>66.87666666666667</v>
      </c>
      <c r="D250" s="84">
        <f t="shared" si="8"/>
        <v>63.663333333333334</v>
      </c>
    </row>
    <row r="251" spans="1:4" ht="15">
      <c r="A251" s="108" t="s">
        <v>318</v>
      </c>
      <c r="B251" s="84">
        <f t="shared" si="8"/>
        <v>80.05666666666666</v>
      </c>
      <c r="C251" s="84">
        <f t="shared" si="8"/>
        <v>67.38666666666667</v>
      </c>
      <c r="D251" s="84">
        <f t="shared" si="8"/>
        <v>63.38333333333333</v>
      </c>
    </row>
    <row r="252" spans="1:4" ht="15">
      <c r="A252" s="108" t="s">
        <v>317</v>
      </c>
      <c r="B252" s="84">
        <f t="shared" si="8"/>
        <v>79.66333333333334</v>
      </c>
      <c r="C252" s="84">
        <f t="shared" si="8"/>
        <v>69.62</v>
      </c>
      <c r="D252" s="84">
        <f t="shared" si="8"/>
        <v>63.75666666666667</v>
      </c>
    </row>
    <row r="253" spans="1:4" ht="15">
      <c r="A253" s="108" t="s">
        <v>315</v>
      </c>
      <c r="B253" s="84">
        <f t="shared" si="8"/>
        <v>75.94333333333333</v>
      </c>
      <c r="C253" s="84">
        <f t="shared" si="8"/>
        <v>70.58333333333333</v>
      </c>
      <c r="D253" s="84">
        <f t="shared" si="8"/>
        <v>62.77333333333333</v>
      </c>
    </row>
    <row r="254" spans="1:4" ht="15">
      <c r="A254" s="108" t="s">
        <v>315</v>
      </c>
      <c r="B254" s="84">
        <f t="shared" si="8"/>
        <v>74.82</v>
      </c>
      <c r="C254" s="84">
        <f t="shared" si="8"/>
        <v>70.70666666666666</v>
      </c>
      <c r="D254" s="84">
        <f t="shared" si="8"/>
        <v>62.47333333333333</v>
      </c>
    </row>
    <row r="255" spans="1:4" ht="15">
      <c r="A255" s="108" t="s">
        <v>318</v>
      </c>
      <c r="B255" s="84">
        <f t="shared" si="8"/>
        <v>76.87333333333333</v>
      </c>
      <c r="C255" s="84">
        <f t="shared" si="8"/>
        <v>70.69333333333334</v>
      </c>
      <c r="D255" s="84">
        <f t="shared" si="8"/>
        <v>64.24333333333334</v>
      </c>
    </row>
    <row r="256" spans="1:4" ht="15">
      <c r="A256" s="108" t="s">
        <v>319</v>
      </c>
      <c r="B256" s="84">
        <f t="shared" si="8"/>
        <v>75.01333333333334</v>
      </c>
      <c r="C256" s="84">
        <f t="shared" si="8"/>
        <v>70.48</v>
      </c>
      <c r="D256" s="84">
        <f t="shared" si="8"/>
        <v>64.36</v>
      </c>
    </row>
    <row r="257" spans="1:4" ht="15">
      <c r="A257" s="108" t="s">
        <v>320</v>
      </c>
      <c r="B257" s="84">
        <f t="shared" si="8"/>
        <v>75.08</v>
      </c>
      <c r="C257" s="84">
        <f t="shared" si="8"/>
        <v>71.11333333333333</v>
      </c>
      <c r="D257" s="84">
        <f t="shared" si="8"/>
        <v>65.86666666666666</v>
      </c>
    </row>
    <row r="258" spans="1:4" ht="15">
      <c r="A258" s="108" t="s">
        <v>321</v>
      </c>
      <c r="B258" s="84">
        <f aca="true" t="shared" si="9" ref="B258:D259">(B100+B112+B124)/3</f>
        <v>77.36</v>
      </c>
      <c r="C258" s="84">
        <f t="shared" si="9"/>
        <v>71.12333333333333</v>
      </c>
      <c r="D258" s="84">
        <f t="shared" si="9"/>
        <v>66.50666666666666</v>
      </c>
    </row>
    <row r="259" spans="1:4" ht="15">
      <c r="A259" s="108" t="s">
        <v>322</v>
      </c>
      <c r="B259" s="84">
        <f t="shared" si="9"/>
        <v>78.99</v>
      </c>
      <c r="C259" s="84">
        <f t="shared" si="9"/>
        <v>72.90333333333334</v>
      </c>
      <c r="D259" s="84">
        <f t="shared" si="9"/>
        <v>63.89666666666667</v>
      </c>
    </row>
  </sheetData>
  <mergeCells count="2">
    <mergeCell ref="N3:O3"/>
    <mergeCell ref="P3:Q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9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25.3984375" style="2" customWidth="1"/>
    <col min="2" max="2" width="11.8984375" style="2" customWidth="1"/>
    <col min="3" max="3" width="11.09765625" style="3" customWidth="1"/>
    <col min="4" max="4" width="10.296875" style="3" customWidth="1"/>
    <col min="5" max="5" width="9.3984375" style="2" customWidth="1"/>
    <col min="6" max="6" width="8.59765625" style="2" customWidth="1"/>
    <col min="7" max="7" width="9.59765625" style="2" customWidth="1"/>
    <col min="8" max="15" width="10.796875" style="2" customWidth="1"/>
    <col min="16" max="16384" width="9.796875" style="2" customWidth="1"/>
  </cols>
  <sheetData>
    <row r="1" ht="15.75">
      <c r="A1" s="1" t="s">
        <v>189</v>
      </c>
    </row>
    <row r="2" ht="7.5" customHeight="1">
      <c r="A2" s="4"/>
    </row>
    <row r="3" spans="1:4" ht="15.75">
      <c r="A3" s="164" t="s">
        <v>351</v>
      </c>
      <c r="B3" s="165"/>
      <c r="C3" s="166"/>
      <c r="D3" s="166"/>
    </row>
    <row r="4" spans="1:10" ht="15.75">
      <c r="A4" s="164" t="s">
        <v>349</v>
      </c>
      <c r="B4" s="165"/>
      <c r="C4" s="166"/>
      <c r="D4" s="167"/>
      <c r="G4" s="7"/>
      <c r="J4" s="2" t="s">
        <v>229</v>
      </c>
    </row>
    <row r="5" spans="1:10" ht="15" customHeight="1">
      <c r="A5" s="168"/>
      <c r="B5" s="165"/>
      <c r="C5" s="165"/>
      <c r="D5" s="166"/>
      <c r="J5" s="18" t="s">
        <v>230</v>
      </c>
    </row>
    <row r="6" spans="1:12" ht="15.75">
      <c r="A6" s="165"/>
      <c r="B6" s="165"/>
      <c r="C6" s="166"/>
      <c r="D6" s="166"/>
      <c r="J6" s="2" t="s">
        <v>238</v>
      </c>
      <c r="L6" s="250">
        <v>75</v>
      </c>
    </row>
    <row r="7" spans="1:12" ht="15.75">
      <c r="A7" s="168" t="s">
        <v>11</v>
      </c>
      <c r="B7" s="169" t="s">
        <v>12</v>
      </c>
      <c r="C7" s="166" t="s">
        <v>13</v>
      </c>
      <c r="D7" s="167" t="s">
        <v>14</v>
      </c>
      <c r="J7" s="2" t="s">
        <v>239</v>
      </c>
      <c r="L7" s="250">
        <v>75</v>
      </c>
    </row>
    <row r="8" spans="1:12" ht="16.5" thickBot="1">
      <c r="A8" s="170" t="s">
        <v>353</v>
      </c>
      <c r="B8" s="171" t="s">
        <v>15</v>
      </c>
      <c r="C8" s="172" t="s">
        <v>16</v>
      </c>
      <c r="D8" s="172" t="s">
        <v>17</v>
      </c>
      <c r="J8" s="2" t="s">
        <v>231</v>
      </c>
      <c r="L8" s="251">
        <v>16</v>
      </c>
    </row>
    <row r="9" spans="1:12" ht="15.75">
      <c r="A9" s="222" t="s">
        <v>487</v>
      </c>
      <c r="B9" s="234">
        <v>125000</v>
      </c>
      <c r="C9" s="235">
        <v>1</v>
      </c>
      <c r="D9" s="236" t="s">
        <v>18</v>
      </c>
      <c r="F9" s="5" t="s">
        <v>193</v>
      </c>
      <c r="G9" s="232">
        <v>28</v>
      </c>
      <c r="J9" s="2" t="s">
        <v>235</v>
      </c>
      <c r="L9" s="251">
        <v>0</v>
      </c>
    </row>
    <row r="10" spans="1:12" ht="15.75">
      <c r="A10" s="222" t="s">
        <v>474</v>
      </c>
      <c r="B10" s="237">
        <v>20000</v>
      </c>
      <c r="C10" s="238">
        <v>2</v>
      </c>
      <c r="D10" s="232">
        <v>20</v>
      </c>
      <c r="F10" s="6" t="s">
        <v>9</v>
      </c>
      <c r="G10" s="232">
        <v>200</v>
      </c>
      <c r="J10" s="2" t="s">
        <v>236</v>
      </c>
      <c r="L10" s="251">
        <v>0</v>
      </c>
    </row>
    <row r="11" spans="1:12" ht="15.75">
      <c r="A11" s="222" t="s">
        <v>475</v>
      </c>
      <c r="B11" s="237">
        <v>20000</v>
      </c>
      <c r="C11" s="239">
        <v>3</v>
      </c>
      <c r="D11" s="232">
        <v>20</v>
      </c>
      <c r="F11" s="10" t="s">
        <v>201</v>
      </c>
      <c r="G11" s="78">
        <f>G9*G10</f>
        <v>5600</v>
      </c>
      <c r="J11" s="2" t="s">
        <v>237</v>
      </c>
      <c r="L11" s="251">
        <v>0.5</v>
      </c>
    </row>
    <row r="12" spans="1:12" ht="15.75">
      <c r="A12" s="222" t="s">
        <v>476</v>
      </c>
      <c r="B12" s="237">
        <v>40000</v>
      </c>
      <c r="C12" s="239">
        <v>3</v>
      </c>
      <c r="D12" s="232">
        <v>20</v>
      </c>
      <c r="F12" s="2" t="s">
        <v>202</v>
      </c>
      <c r="G12" s="248">
        <f>1-(15*G13/365)</f>
        <v>0.9178082191780822</v>
      </c>
      <c r="J12" s="2" t="s">
        <v>240</v>
      </c>
      <c r="L12" s="92">
        <f>((L8+L10+L9)*L11/27)*(L6+L7)</f>
        <v>44.44444444444444</v>
      </c>
    </row>
    <row r="13" spans="1:7" ht="15.75">
      <c r="A13" s="222" t="s">
        <v>477</v>
      </c>
      <c r="B13" s="237">
        <v>20000</v>
      </c>
      <c r="C13" s="239">
        <v>4</v>
      </c>
      <c r="D13" s="232">
        <v>15</v>
      </c>
      <c r="F13" s="2" t="s">
        <v>203</v>
      </c>
      <c r="G13" s="249">
        <v>2</v>
      </c>
    </row>
    <row r="14" spans="1:10" ht="15.75">
      <c r="A14" s="222" t="s">
        <v>478</v>
      </c>
      <c r="B14" s="237">
        <v>0</v>
      </c>
      <c r="C14" s="239">
        <v>4</v>
      </c>
      <c r="D14" s="232">
        <v>20</v>
      </c>
      <c r="F14" s="10" t="s">
        <v>204</v>
      </c>
      <c r="G14" s="43">
        <f>G11*G13</f>
        <v>11200</v>
      </c>
      <c r="J14" s="18" t="s">
        <v>232</v>
      </c>
    </row>
    <row r="15" spans="1:12" ht="15.75">
      <c r="A15" s="222" t="s">
        <v>479</v>
      </c>
      <c r="B15" s="237">
        <v>5000</v>
      </c>
      <c r="C15" s="239">
        <v>4</v>
      </c>
      <c r="D15" s="232" t="s">
        <v>18</v>
      </c>
      <c r="J15" s="2" t="s">
        <v>233</v>
      </c>
      <c r="L15" s="251">
        <v>0</v>
      </c>
    </row>
    <row r="16" spans="1:12" ht="15.75">
      <c r="A16" s="222" t="s">
        <v>480</v>
      </c>
      <c r="B16" s="237">
        <v>30000</v>
      </c>
      <c r="C16" s="239">
        <v>3</v>
      </c>
      <c r="D16" s="232">
        <v>15</v>
      </c>
      <c r="F16" s="2" t="s">
        <v>370</v>
      </c>
      <c r="G16" s="219">
        <v>2007</v>
      </c>
      <c r="J16" s="2" t="s">
        <v>234</v>
      </c>
      <c r="L16" s="252">
        <v>1.5</v>
      </c>
    </row>
    <row r="17" spans="1:12" ht="15.75">
      <c r="A17" s="222" t="s">
        <v>481</v>
      </c>
      <c r="B17" s="237">
        <v>2500000</v>
      </c>
      <c r="C17" s="239">
        <v>4</v>
      </c>
      <c r="D17" s="232">
        <v>20</v>
      </c>
      <c r="F17" s="10" t="s">
        <v>10</v>
      </c>
      <c r="G17" s="233">
        <v>39142</v>
      </c>
      <c r="J17" s="2" t="s">
        <v>240</v>
      </c>
      <c r="L17" s="92">
        <f>L15*L16</f>
        <v>0</v>
      </c>
    </row>
    <row r="18" spans="1:4" ht="15.75">
      <c r="A18" s="222" t="s">
        <v>482</v>
      </c>
      <c r="B18" s="237">
        <v>30000</v>
      </c>
      <c r="C18" s="239">
        <v>4</v>
      </c>
      <c r="D18" s="232">
        <v>20</v>
      </c>
    </row>
    <row r="19" spans="1:10" ht="15.75">
      <c r="A19" s="222" t="s">
        <v>483</v>
      </c>
      <c r="B19" s="237">
        <v>10000</v>
      </c>
      <c r="C19" s="239">
        <v>4</v>
      </c>
      <c r="D19" s="232">
        <v>15</v>
      </c>
      <c r="J19" s="18" t="s">
        <v>241</v>
      </c>
    </row>
    <row r="20" spans="1:12" ht="15.75">
      <c r="A20" s="222" t="s">
        <v>484</v>
      </c>
      <c r="B20" s="237">
        <v>35000</v>
      </c>
      <c r="C20" s="239">
        <v>3</v>
      </c>
      <c r="D20" s="232">
        <v>15</v>
      </c>
      <c r="F20" s="2" t="s">
        <v>190</v>
      </c>
      <c r="J20" s="2" t="s">
        <v>242</v>
      </c>
      <c r="L20" s="251">
        <v>150</v>
      </c>
    </row>
    <row r="21" spans="1:12" ht="15.75">
      <c r="A21" s="222" t="s">
        <v>485</v>
      </c>
      <c r="B21" s="237">
        <v>10000</v>
      </c>
      <c r="C21" s="239">
        <v>4</v>
      </c>
      <c r="D21" s="232">
        <v>15</v>
      </c>
      <c r="F21" s="2" t="s">
        <v>251</v>
      </c>
      <c r="H21" s="46">
        <f>B9/G11</f>
        <v>22.321428571428573</v>
      </c>
      <c r="J21" s="2" t="s">
        <v>244</v>
      </c>
      <c r="L21" s="251">
        <v>2</v>
      </c>
    </row>
    <row r="22" spans="1:12" ht="15.75">
      <c r="A22" s="222" t="s">
        <v>486</v>
      </c>
      <c r="B22" s="237">
        <v>25000</v>
      </c>
      <c r="C22" s="239">
        <v>3</v>
      </c>
      <c r="D22" s="232">
        <v>15</v>
      </c>
      <c r="F22" s="2" t="s">
        <v>252</v>
      </c>
      <c r="H22" s="46">
        <f>SUM(B10:B29)/G11</f>
        <v>490.17857142857144</v>
      </c>
      <c r="J22" s="2" t="s">
        <v>243</v>
      </c>
      <c r="L22" s="250">
        <v>150</v>
      </c>
    </row>
    <row r="23" spans="1:12" ht="15.75">
      <c r="A23" s="206"/>
      <c r="B23" s="237"/>
      <c r="C23" s="239"/>
      <c r="D23" s="232"/>
      <c r="F23" s="2" t="s">
        <v>191</v>
      </c>
      <c r="H23" s="46">
        <f>SUM(B31:B44)/G11</f>
        <v>62.5</v>
      </c>
      <c r="J23" s="2" t="s">
        <v>245</v>
      </c>
      <c r="L23" s="250">
        <v>15</v>
      </c>
    </row>
    <row r="24" spans="1:12" ht="15.75">
      <c r="A24" s="227"/>
      <c r="B24" s="237"/>
      <c r="C24" s="239"/>
      <c r="D24" s="232"/>
      <c r="F24" s="2" t="s">
        <v>192</v>
      </c>
      <c r="H24" s="46">
        <f>H21+H22+H23</f>
        <v>575</v>
      </c>
      <c r="J24" s="2" t="s">
        <v>247</v>
      </c>
      <c r="L24" s="251">
        <v>1</v>
      </c>
    </row>
    <row r="25" spans="1:12" ht="15.75">
      <c r="A25" s="227"/>
      <c r="B25" s="237"/>
      <c r="C25" s="239"/>
      <c r="D25" s="232"/>
      <c r="J25" s="2" t="s">
        <v>246</v>
      </c>
      <c r="L25" s="250">
        <v>800</v>
      </c>
    </row>
    <row r="26" spans="1:12" ht="15.75">
      <c r="A26" s="227"/>
      <c r="B26" s="237"/>
      <c r="C26" s="239"/>
      <c r="D26" s="232"/>
      <c r="J26" s="2" t="s">
        <v>248</v>
      </c>
      <c r="L26" s="251">
        <v>1</v>
      </c>
    </row>
    <row r="27" spans="1:12" ht="15.75">
      <c r="A27" s="227"/>
      <c r="B27" s="237"/>
      <c r="C27" s="239"/>
      <c r="D27" s="232"/>
      <c r="J27" s="2" t="s">
        <v>249</v>
      </c>
      <c r="L27" s="250">
        <v>10</v>
      </c>
    </row>
    <row r="28" spans="1:12" ht="15.75">
      <c r="A28" s="227"/>
      <c r="B28" s="237"/>
      <c r="C28" s="239"/>
      <c r="D28" s="232"/>
      <c r="J28" s="2" t="s">
        <v>240</v>
      </c>
      <c r="L28" s="92">
        <f>((L21*L22)+(L24*L25))/L20+(L8*2/L20+0.5)*L23+L26*L27</f>
        <v>28.033333333333335</v>
      </c>
    </row>
    <row r="29" spans="1:4" ht="15.75">
      <c r="A29" s="227"/>
      <c r="B29" s="237"/>
      <c r="C29" s="239"/>
      <c r="D29" s="232"/>
    </row>
    <row r="30" spans="1:12" ht="16.5" thickBot="1">
      <c r="A30" s="240" t="s">
        <v>191</v>
      </c>
      <c r="B30" s="241"/>
      <c r="C30" s="242"/>
      <c r="D30" s="243"/>
      <c r="J30" s="2" t="s">
        <v>250</v>
      </c>
      <c r="L30" s="92">
        <f>L12+L17+L28</f>
        <v>72.47777777777777</v>
      </c>
    </row>
    <row r="31" spans="1:4" ht="15.75">
      <c r="A31" s="227" t="s">
        <v>361</v>
      </c>
      <c r="B31" s="234">
        <v>5000</v>
      </c>
      <c r="C31" s="235">
        <v>5</v>
      </c>
      <c r="D31" s="236">
        <v>7</v>
      </c>
    </row>
    <row r="32" spans="1:4" ht="15.75">
      <c r="A32" s="224" t="s">
        <v>362</v>
      </c>
      <c r="B32" s="237">
        <v>80000</v>
      </c>
      <c r="C32" s="239">
        <v>5</v>
      </c>
      <c r="D32" s="232">
        <v>7</v>
      </c>
    </row>
    <row r="33" spans="1:4" ht="15.75">
      <c r="A33" s="206" t="s">
        <v>363</v>
      </c>
      <c r="B33" s="237">
        <v>60000</v>
      </c>
      <c r="C33" s="239">
        <v>5</v>
      </c>
      <c r="D33" s="232">
        <v>7</v>
      </c>
    </row>
    <row r="34" spans="1:4" ht="15.75">
      <c r="A34" s="224" t="s">
        <v>364</v>
      </c>
      <c r="B34" s="237">
        <v>70000</v>
      </c>
      <c r="C34" s="239">
        <v>1</v>
      </c>
      <c r="D34" s="232">
        <v>7</v>
      </c>
    </row>
    <row r="35" spans="1:4" ht="15.75">
      <c r="A35" s="227" t="s">
        <v>365</v>
      </c>
      <c r="B35" s="237">
        <v>85000</v>
      </c>
      <c r="C35" s="239">
        <v>4</v>
      </c>
      <c r="D35" s="232">
        <v>7</v>
      </c>
    </row>
    <row r="36" spans="1:4" ht="15.75">
      <c r="A36" s="224" t="s">
        <v>366</v>
      </c>
      <c r="B36" s="237">
        <v>40000</v>
      </c>
      <c r="C36" s="239">
        <v>5</v>
      </c>
      <c r="D36" s="232">
        <v>0</v>
      </c>
    </row>
    <row r="37" spans="1:4" ht="15.75">
      <c r="A37" s="224" t="s">
        <v>19</v>
      </c>
      <c r="B37" s="237">
        <v>0</v>
      </c>
      <c r="C37" s="239">
        <v>3</v>
      </c>
      <c r="D37" s="232">
        <v>0</v>
      </c>
    </row>
    <row r="38" spans="1:4" ht="15.75">
      <c r="A38" s="224" t="s">
        <v>367</v>
      </c>
      <c r="B38" s="237">
        <v>0</v>
      </c>
      <c r="C38" s="239">
        <v>5</v>
      </c>
      <c r="D38" s="232">
        <v>7</v>
      </c>
    </row>
    <row r="39" spans="1:4" ht="15.75">
      <c r="A39" s="224" t="s">
        <v>194</v>
      </c>
      <c r="B39" s="237">
        <v>0</v>
      </c>
      <c r="C39" s="239"/>
      <c r="D39" s="232"/>
    </row>
    <row r="40" spans="1:4" ht="15.75">
      <c r="A40" s="224" t="s">
        <v>368</v>
      </c>
      <c r="B40" s="237">
        <v>10000</v>
      </c>
      <c r="C40" s="239"/>
      <c r="D40" s="232"/>
    </row>
    <row r="41" spans="1:4" ht="15.75">
      <c r="A41" s="224"/>
      <c r="B41" s="237"/>
      <c r="C41" s="239"/>
      <c r="D41" s="232"/>
    </row>
    <row r="42" spans="1:4" ht="15.75">
      <c r="A42" s="224"/>
      <c r="B42" s="237"/>
      <c r="C42" s="239"/>
      <c r="D42" s="232"/>
    </row>
    <row r="43" spans="1:4" ht="15.75">
      <c r="A43" s="224"/>
      <c r="B43" s="237"/>
      <c r="C43" s="239"/>
      <c r="D43" s="232"/>
    </row>
    <row r="44" spans="1:4" ht="15.75">
      <c r="A44" s="224"/>
      <c r="B44" s="237"/>
      <c r="C44" s="239"/>
      <c r="D44" s="232"/>
    </row>
    <row r="45" spans="1:4" ht="16.5" thickBot="1">
      <c r="A45" s="244" t="s">
        <v>354</v>
      </c>
      <c r="B45" s="245"/>
      <c r="C45" s="242"/>
      <c r="D45" s="243"/>
    </row>
    <row r="46" spans="1:4" ht="15.75">
      <c r="A46" s="227" t="s">
        <v>465</v>
      </c>
      <c r="B46" s="246">
        <v>500000</v>
      </c>
      <c r="C46" s="247"/>
      <c r="D46" s="236">
        <v>0</v>
      </c>
    </row>
    <row r="47" spans="1:4" ht="15.75">
      <c r="A47" s="227" t="s">
        <v>369</v>
      </c>
      <c r="B47" s="234">
        <v>200000</v>
      </c>
      <c r="C47" s="235"/>
      <c r="D47" s="236"/>
    </row>
    <row r="48" spans="1:4" ht="15.75">
      <c r="A48" s="227"/>
      <c r="B48" s="234"/>
      <c r="C48" s="235"/>
      <c r="D48" s="236"/>
    </row>
    <row r="49" spans="1:4" ht="15.75">
      <c r="A49" s="227"/>
      <c r="B49" s="234"/>
      <c r="C49" s="235"/>
      <c r="D49" s="236"/>
    </row>
    <row r="50" spans="1:4" ht="15.75">
      <c r="A50" s="227"/>
      <c r="B50" s="237"/>
      <c r="C50" s="239"/>
      <c r="D50" s="232"/>
    </row>
    <row r="51" spans="1:4" ht="15.75">
      <c r="A51" s="11" t="s">
        <v>20</v>
      </c>
      <c r="B51" s="12">
        <f>+SUM(B9:B50)</f>
        <v>3920000</v>
      </c>
      <c r="C51" s="44"/>
      <c r="D51" s="45"/>
    </row>
    <row r="52" spans="1:3" ht="15.75">
      <c r="A52" s="11"/>
      <c r="B52" s="12"/>
      <c r="C52" s="13"/>
    </row>
    <row r="53" spans="1:3" ht="15.75">
      <c r="A53" s="14" t="s">
        <v>21</v>
      </c>
      <c r="B53" s="12"/>
      <c r="C53" s="13"/>
    </row>
    <row r="54" spans="1:7" ht="15.75">
      <c r="A54" s="11"/>
      <c r="B54" s="10" t="s">
        <v>22</v>
      </c>
      <c r="C54" s="15" t="s">
        <v>15</v>
      </c>
      <c r="D54" s="3" t="s">
        <v>23</v>
      </c>
      <c r="E54" s="13" t="s">
        <v>17</v>
      </c>
      <c r="F54" s="2" t="s">
        <v>24</v>
      </c>
      <c r="G54" s="2" t="s">
        <v>25</v>
      </c>
    </row>
    <row r="55" spans="1:7" ht="15.75">
      <c r="A55" s="227" t="s">
        <v>26</v>
      </c>
      <c r="B55" s="217">
        <v>0.4</v>
      </c>
      <c r="C55" s="230">
        <f>(1-B55)*B9</f>
        <v>75000</v>
      </c>
      <c r="D55" s="231">
        <v>0.0675</v>
      </c>
      <c r="E55" s="232">
        <v>30</v>
      </c>
      <c r="F55" s="232">
        <f>E55</f>
        <v>30</v>
      </c>
      <c r="G55" s="233">
        <f>G17</f>
        <v>39142</v>
      </c>
    </row>
    <row r="56" spans="1:7" ht="15.75">
      <c r="A56" s="227" t="s">
        <v>27</v>
      </c>
      <c r="B56" s="217">
        <v>0.5</v>
      </c>
      <c r="C56" s="230">
        <f>(1-B56)*(SUM(B10:B25))</f>
        <v>1372500</v>
      </c>
      <c r="D56" s="231">
        <v>0.07</v>
      </c>
      <c r="E56" s="232">
        <v>10</v>
      </c>
      <c r="F56" s="232">
        <f>E56</f>
        <v>10</v>
      </c>
      <c r="G56" s="233">
        <f aca="true" t="shared" si="0" ref="G56:G61">+G$55+30*AVERAGE(C10:C23)</f>
        <v>39245.846153846156</v>
      </c>
    </row>
    <row r="57" spans="1:7" ht="15.75">
      <c r="A57" s="227" t="s">
        <v>28</v>
      </c>
      <c r="B57" s="217">
        <v>0.5</v>
      </c>
      <c r="C57" s="230">
        <f>(1-B57)*(SUM(B31:B37))</f>
        <v>170000</v>
      </c>
      <c r="D57" s="231">
        <v>0.075</v>
      </c>
      <c r="E57" s="232">
        <v>5</v>
      </c>
      <c r="F57" s="232">
        <f>E57</f>
        <v>5</v>
      </c>
      <c r="G57" s="233">
        <f t="shared" si="0"/>
        <v>39249.5</v>
      </c>
    </row>
    <row r="58" spans="1:7" ht="15.75">
      <c r="A58" s="227" t="s">
        <v>346</v>
      </c>
      <c r="B58" s="217">
        <v>0.25</v>
      </c>
      <c r="C58" s="230">
        <f>(1-B58)*(B47)</f>
        <v>150000</v>
      </c>
      <c r="D58" s="231">
        <v>0.07</v>
      </c>
      <c r="E58" s="232">
        <v>0</v>
      </c>
      <c r="F58" s="232">
        <f>12*E58</f>
        <v>0</v>
      </c>
      <c r="G58" s="233">
        <f t="shared" si="0"/>
        <v>39251.09090909091</v>
      </c>
    </row>
    <row r="59" spans="1:7" ht="15.75">
      <c r="A59" s="227" t="s">
        <v>29</v>
      </c>
      <c r="B59" s="217">
        <v>0</v>
      </c>
      <c r="C59" s="230">
        <f>(1-B59)*(0)</f>
        <v>0</v>
      </c>
      <c r="D59" s="231">
        <v>0</v>
      </c>
      <c r="E59" s="232">
        <v>0</v>
      </c>
      <c r="F59" s="232">
        <f>12*E59</f>
        <v>0</v>
      </c>
      <c r="G59" s="233">
        <f t="shared" si="0"/>
        <v>39253</v>
      </c>
    </row>
    <row r="60" spans="1:7" ht="15.75">
      <c r="A60" s="227" t="s">
        <v>29</v>
      </c>
      <c r="B60" s="217">
        <v>0</v>
      </c>
      <c r="C60" s="230">
        <v>0</v>
      </c>
      <c r="D60" s="231">
        <v>0</v>
      </c>
      <c r="E60" s="232">
        <v>0</v>
      </c>
      <c r="F60" s="232">
        <f>12*E60</f>
        <v>0</v>
      </c>
      <c r="G60" s="233">
        <f t="shared" si="0"/>
        <v>39252</v>
      </c>
    </row>
    <row r="61" spans="1:7" ht="15.75">
      <c r="A61" s="227" t="s">
        <v>29</v>
      </c>
      <c r="B61" s="217">
        <v>0</v>
      </c>
      <c r="C61" s="230">
        <f>(1-B61)*(0)</f>
        <v>0</v>
      </c>
      <c r="D61" s="231">
        <v>0</v>
      </c>
      <c r="E61" s="232">
        <v>0</v>
      </c>
      <c r="F61" s="232">
        <f>12*E61</f>
        <v>0</v>
      </c>
      <c r="G61" s="233">
        <f t="shared" si="0"/>
        <v>39250.75</v>
      </c>
    </row>
    <row r="62" spans="1:7" ht="15.75">
      <c r="A62" s="227" t="s">
        <v>30</v>
      </c>
      <c r="B62" s="217">
        <v>0</v>
      </c>
      <c r="C62" s="230">
        <v>0</v>
      </c>
      <c r="D62" s="231">
        <v>0.07</v>
      </c>
      <c r="E62" s="219"/>
      <c r="F62" s="219"/>
      <c r="G62" s="219"/>
    </row>
    <row r="63" ht="15.75">
      <c r="D63" s="2"/>
    </row>
    <row r="64" spans="1:4" ht="15.75">
      <c r="A64" s="4" t="s">
        <v>31</v>
      </c>
      <c r="C64" s="173">
        <f>SUM(C55:C61)</f>
        <v>1767500</v>
      </c>
      <c r="D64" s="2"/>
    </row>
    <row r="65" spans="1:4" ht="15.75">
      <c r="A65" s="2" t="s">
        <v>32</v>
      </c>
      <c r="C65" s="173">
        <f>SUM(B9:B50)-C64</f>
        <v>2152500</v>
      </c>
      <c r="D65" s="2"/>
    </row>
    <row r="66" spans="1:3" ht="15.75">
      <c r="A66" s="2" t="s">
        <v>20</v>
      </c>
      <c r="C66" s="174">
        <f>C64+C65</f>
        <v>3920000</v>
      </c>
    </row>
    <row r="67" spans="1:3" ht="15.75">
      <c r="A67" s="4" t="s">
        <v>30</v>
      </c>
      <c r="C67" s="173">
        <f>C62</f>
        <v>0</v>
      </c>
    </row>
    <row r="68" spans="3:5" ht="15.75">
      <c r="C68" s="16"/>
      <c r="E68" s="18" t="s">
        <v>35</v>
      </c>
    </row>
    <row r="69" spans="1:7" ht="15.75">
      <c r="A69" s="206" t="s">
        <v>449</v>
      </c>
      <c r="B69" s="217">
        <v>0</v>
      </c>
      <c r="C69" s="218"/>
      <c r="E69" s="2" t="s">
        <v>38</v>
      </c>
      <c r="G69" s="228">
        <v>0.43</v>
      </c>
    </row>
    <row r="70" spans="1:7" ht="15.75">
      <c r="A70" s="206" t="s">
        <v>33</v>
      </c>
      <c r="B70" s="219">
        <v>1</v>
      </c>
      <c r="C70" s="220" t="s">
        <v>34</v>
      </c>
      <c r="E70" s="2" t="s">
        <v>40</v>
      </c>
      <c r="G70" s="229">
        <v>0</v>
      </c>
    </row>
    <row r="71" spans="1:7" ht="15.75">
      <c r="A71" s="206" t="s">
        <v>36</v>
      </c>
      <c r="B71" s="221">
        <v>0.03</v>
      </c>
      <c r="C71" s="222" t="s">
        <v>37</v>
      </c>
      <c r="E71" s="2" t="s">
        <v>42</v>
      </c>
      <c r="G71" s="229">
        <v>0</v>
      </c>
    </row>
    <row r="72" spans="1:3" ht="15.75">
      <c r="A72" s="206" t="s">
        <v>488</v>
      </c>
      <c r="B72" s="223">
        <v>60000</v>
      </c>
      <c r="C72" s="222"/>
    </row>
    <row r="73" spans="1:3" ht="15.75">
      <c r="A73" s="224" t="s">
        <v>41</v>
      </c>
      <c r="B73" s="223">
        <v>120000</v>
      </c>
      <c r="C73" s="225"/>
    </row>
    <row r="74" spans="1:5" ht="15.75">
      <c r="A74" s="224" t="s">
        <v>43</v>
      </c>
      <c r="B74" s="223">
        <f>C74*B73</f>
        <v>30000</v>
      </c>
      <c r="C74" s="217">
        <v>0.25</v>
      </c>
      <c r="D74" s="7" t="s">
        <v>44</v>
      </c>
      <c r="E74" s="2" t="s">
        <v>460</v>
      </c>
    </row>
    <row r="75" spans="1:5" ht="15.75">
      <c r="A75" s="206" t="s">
        <v>45</v>
      </c>
      <c r="B75" s="223">
        <v>8000</v>
      </c>
      <c r="C75" s="225"/>
      <c r="E75" s="2" t="s">
        <v>461</v>
      </c>
    </row>
    <row r="76" spans="1:7" ht="15.75">
      <c r="A76" s="224" t="s">
        <v>46</v>
      </c>
      <c r="B76" s="223">
        <v>15000</v>
      </c>
      <c r="C76" s="225"/>
      <c r="E76" s="2" t="s">
        <v>462</v>
      </c>
      <c r="F76" s="162">
        <v>0.05</v>
      </c>
      <c r="G76" s="109">
        <f>NPV(F76,'Annual Cash Flow'!B60:Q60)</f>
        <v>547957.3142400372</v>
      </c>
    </row>
    <row r="77" spans="1:7" ht="15.75">
      <c r="A77" s="206" t="s">
        <v>47</v>
      </c>
      <c r="B77" s="223">
        <v>15000</v>
      </c>
      <c r="C77" s="225"/>
      <c r="E77" s="2" t="s">
        <v>463</v>
      </c>
      <c r="G77" s="39">
        <f>IRR('Annual Cash Flow'!B60:Q60,0.05)</f>
        <v>0.07532669579061607</v>
      </c>
    </row>
    <row r="78" spans="1:7" ht="15.75">
      <c r="A78" s="206" t="s">
        <v>48</v>
      </c>
      <c r="B78" s="223">
        <v>3000</v>
      </c>
      <c r="C78" s="225"/>
      <c r="E78" s="2" t="s">
        <v>490</v>
      </c>
      <c r="G78" s="39">
        <f>'Income Statement'!F39/Inputs!C66</f>
        <v>0.04118030005150275</v>
      </c>
    </row>
    <row r="79" spans="1:7" ht="15.75">
      <c r="A79" s="224" t="s">
        <v>49</v>
      </c>
      <c r="B79" s="223">
        <f>SUM(B9:B29)*C79</f>
        <v>28700</v>
      </c>
      <c r="C79" s="226">
        <v>0.01</v>
      </c>
      <c r="D79" s="7" t="s">
        <v>50</v>
      </c>
      <c r="E79" s="2" t="s">
        <v>491</v>
      </c>
      <c r="G79" s="39">
        <f>'Income Statement'!F39/Inputs!C65</f>
        <v>0.07499501797997249</v>
      </c>
    </row>
    <row r="80" spans="1:4" ht="15.75">
      <c r="A80" s="224" t="s">
        <v>51</v>
      </c>
      <c r="B80" s="223">
        <f>+SUM(B11:B44)*C80</f>
        <v>30750</v>
      </c>
      <c r="C80" s="226">
        <v>0.01</v>
      </c>
      <c r="D80" s="7" t="s">
        <v>50</v>
      </c>
    </row>
    <row r="81" spans="1:4" ht="15.75">
      <c r="A81" s="227" t="s">
        <v>52</v>
      </c>
      <c r="B81" s="223">
        <f>(SUM(B11:B44)+B10)*C81</f>
        <v>30950</v>
      </c>
      <c r="C81" s="226">
        <v>0.01</v>
      </c>
      <c r="D81" s="7" t="s">
        <v>50</v>
      </c>
    </row>
    <row r="82" spans="1:3" ht="15.75">
      <c r="A82" s="227" t="s">
        <v>53</v>
      </c>
      <c r="B82" s="223">
        <v>20000</v>
      </c>
      <c r="C82" s="225"/>
    </row>
    <row r="83" spans="1:3" ht="15.75">
      <c r="A83" s="227" t="s">
        <v>54</v>
      </c>
      <c r="B83" s="223"/>
      <c r="C83" s="225"/>
    </row>
    <row r="84" spans="1:3" ht="15.75">
      <c r="A84" s="227" t="s">
        <v>54</v>
      </c>
      <c r="B84" s="223"/>
      <c r="C84" s="225"/>
    </row>
    <row r="85" spans="1:3" ht="15.75">
      <c r="A85" s="227" t="s">
        <v>54</v>
      </c>
      <c r="B85" s="223"/>
      <c r="C85" s="225"/>
    </row>
    <row r="86" spans="1:3" ht="15.75">
      <c r="A86" s="227" t="s">
        <v>54</v>
      </c>
      <c r="B86" s="223"/>
      <c r="C86" s="225"/>
    </row>
    <row r="87" spans="1:2" ht="15.75">
      <c r="A87" s="11" t="s">
        <v>466</v>
      </c>
      <c r="B87" s="46">
        <f>SUM(B72:B86)</f>
        <v>361400</v>
      </c>
    </row>
    <row r="88" spans="1:2" ht="15.75">
      <c r="A88" s="163" t="s">
        <v>468</v>
      </c>
      <c r="B88" s="109">
        <f>Inventories!N71/Inventories!N73*'Diets and Performance'!C9+'Diets and Performance'!D9*Inventories!N72/Inventories!N73</f>
        <v>190.54801407742582</v>
      </c>
    </row>
    <row r="89" spans="1:2" ht="15.75">
      <c r="A89" s="163" t="s">
        <v>467</v>
      </c>
      <c r="B89" s="155">
        <f>B87/G14</f>
        <v>32.267857142857146</v>
      </c>
    </row>
    <row r="90" spans="1:2" ht="15.75">
      <c r="A90" s="2" t="s">
        <v>489</v>
      </c>
      <c r="B90" s="155">
        <f>B88*B92</f>
        <v>34.41071428571429</v>
      </c>
    </row>
    <row r="91" spans="1:2" ht="15.75">
      <c r="A91" s="163" t="s">
        <v>469</v>
      </c>
      <c r="B91" s="155">
        <f>B89/B88</f>
        <v>0.16934239540143237</v>
      </c>
    </row>
    <row r="92" spans="1:2" ht="15.75">
      <c r="A92" s="2" t="s">
        <v>470</v>
      </c>
      <c r="B92" s="155">
        <f>(SUM(B10:B22)*0.12+SUM(B31:B44)*0.16)/(B88*G14)</f>
        <v>0.18058815491895971</v>
      </c>
    </row>
    <row r="93" ht="15.75"/>
    <row r="94" ht="15.75"/>
  </sheetData>
  <printOptions/>
  <pageMargins left="0.75" right="0.75" top="1" bottom="1" header="0.5" footer="0.5"/>
  <pageSetup fitToHeight="2" fitToWidth="1" horizontalDpi="300" verticalDpi="300" orientation="landscape" scale="98" r:id="rId3"/>
  <headerFooter alignWithMargins="0">
    <oddHeader>&amp;L&amp;"CG Times (W1),Regular"Iowa State University Extension&amp;CPage &amp;P&amp;R&amp;D</oddHeader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1">
      <selection activeCell="J13" sqref="J13:K14"/>
    </sheetView>
  </sheetViews>
  <sheetFormatPr defaultColWidth="8.796875" defaultRowHeight="15"/>
  <cols>
    <col min="1" max="1" width="18.59765625" style="2" customWidth="1"/>
    <col min="2" max="3" width="5.296875" style="3" customWidth="1"/>
    <col min="4" max="6" width="8.8984375" style="2" customWidth="1"/>
    <col min="7" max="7" width="9.796875" style="2" customWidth="1"/>
    <col min="8" max="8" width="8.8984375" style="2" customWidth="1"/>
    <col min="9" max="9" width="10.3984375" style="2" customWidth="1"/>
    <col min="10" max="16384" width="8.8984375" style="2" customWidth="1"/>
  </cols>
  <sheetData>
    <row r="1" spans="1:2" ht="15.75">
      <c r="A1" s="18" t="s">
        <v>108</v>
      </c>
      <c r="B1" s="33"/>
    </row>
    <row r="2" ht="15.75">
      <c r="I2" s="2" t="s">
        <v>451</v>
      </c>
    </row>
    <row r="3" spans="2:20" s="18" customFormat="1" ht="15.75">
      <c r="B3" s="33"/>
      <c r="C3" s="33"/>
      <c r="E3" s="33" t="s">
        <v>109</v>
      </c>
      <c r="H3"/>
      <c r="I3" s="2"/>
      <c r="J3" s="10" t="s">
        <v>227</v>
      </c>
      <c r="K3" s="10" t="s">
        <v>254</v>
      </c>
      <c r="L3"/>
      <c r="M3"/>
      <c r="N3"/>
      <c r="O3"/>
      <c r="P3"/>
      <c r="Q3"/>
      <c r="R3"/>
      <c r="S3"/>
      <c r="T3"/>
    </row>
    <row r="4" spans="1:20" s="18" customFormat="1" ht="15.75">
      <c r="A4" s="1" t="s">
        <v>110</v>
      </c>
      <c r="B4" s="150"/>
      <c r="C4" s="33"/>
      <c r="D4" s="34">
        <f>Inputs!G16</f>
        <v>2007</v>
      </c>
      <c r="E4" s="18">
        <f>+D4+1</f>
        <v>2008</v>
      </c>
      <c r="F4" s="18">
        <f>+E4+1</f>
        <v>2009</v>
      </c>
      <c r="G4" s="35" t="s">
        <v>71</v>
      </c>
      <c r="H4"/>
      <c r="I4" s="2" t="s">
        <v>255</v>
      </c>
      <c r="J4" s="259">
        <v>550</v>
      </c>
      <c r="K4" s="259">
        <v>750</v>
      </c>
      <c r="L4"/>
      <c r="M4"/>
      <c r="N4"/>
      <c r="O4"/>
      <c r="P4"/>
      <c r="Q4"/>
      <c r="R4"/>
      <c r="S4"/>
      <c r="T4"/>
    </row>
    <row r="5" spans="1:20" ht="15.75">
      <c r="A5" s="224" t="s">
        <v>111</v>
      </c>
      <c r="B5" s="253"/>
      <c r="C5" s="225"/>
      <c r="D5" s="229">
        <v>3.15</v>
      </c>
      <c r="E5" s="229">
        <v>3.25</v>
      </c>
      <c r="F5" s="229">
        <v>3.45</v>
      </c>
      <c r="G5" s="229">
        <v>3.25</v>
      </c>
      <c r="H5"/>
      <c r="I5" s="2" t="s">
        <v>256</v>
      </c>
      <c r="J5" s="259">
        <v>1250</v>
      </c>
      <c r="K5" s="259">
        <v>1350</v>
      </c>
      <c r="L5"/>
      <c r="M5"/>
      <c r="N5"/>
      <c r="O5"/>
      <c r="P5"/>
      <c r="Q5"/>
      <c r="R5"/>
      <c r="S5"/>
      <c r="T5"/>
    </row>
    <row r="6" spans="1:20" ht="15.75">
      <c r="A6" s="224" t="s">
        <v>450</v>
      </c>
      <c r="B6" s="254">
        <v>0.4</v>
      </c>
      <c r="C6" s="255">
        <v>0.9</v>
      </c>
      <c r="D6" s="229">
        <f>D5*2000/56*$B6*$C6</f>
        <v>40.5</v>
      </c>
      <c r="E6" s="229">
        <f>E5*2000/56*$B6*$C6</f>
        <v>41.78571428571429</v>
      </c>
      <c r="F6" s="229">
        <f>F5*2000/56*$B6*$C6</f>
        <v>44.357142857142854</v>
      </c>
      <c r="G6" s="229">
        <f>G5*2000/56*$B6*$C6</f>
        <v>41.78571428571429</v>
      </c>
      <c r="I6" s="2" t="s">
        <v>300</v>
      </c>
      <c r="J6" s="260">
        <f>J5</f>
        <v>1250</v>
      </c>
      <c r="K6" s="260">
        <f>K5</f>
        <v>1350</v>
      </c>
      <c r="L6"/>
      <c r="M6"/>
      <c r="N6"/>
      <c r="O6"/>
      <c r="P6"/>
      <c r="Q6"/>
      <c r="R6"/>
      <c r="S6"/>
      <c r="T6"/>
    </row>
    <row r="7" spans="1:20" ht="15.75">
      <c r="A7" s="224" t="s">
        <v>112</v>
      </c>
      <c r="B7" s="253"/>
      <c r="C7" s="225"/>
      <c r="D7" s="229">
        <v>60</v>
      </c>
      <c r="E7" s="229">
        <v>60</v>
      </c>
      <c r="F7" s="229">
        <v>60</v>
      </c>
      <c r="G7" s="229">
        <v>60</v>
      </c>
      <c r="H7"/>
      <c r="I7" s="2" t="s">
        <v>207</v>
      </c>
      <c r="J7" s="186">
        <f>(J5-J4)/J8</f>
        <v>215.3846153846154</v>
      </c>
      <c r="K7" s="186">
        <f>(K5-K4)/K8</f>
        <v>166.66666666666666</v>
      </c>
      <c r="L7"/>
      <c r="M7"/>
      <c r="N7"/>
      <c r="O7"/>
      <c r="P7"/>
      <c r="Q7"/>
      <c r="R7"/>
      <c r="S7"/>
      <c r="T7"/>
    </row>
    <row r="8" spans="1:20" ht="15.75">
      <c r="A8" s="224" t="s">
        <v>306</v>
      </c>
      <c r="B8" s="253"/>
      <c r="C8" s="225"/>
      <c r="D8" s="229">
        <f>10*D5</f>
        <v>31.5</v>
      </c>
      <c r="E8" s="229">
        <f>10*E5</f>
        <v>32.5</v>
      </c>
      <c r="F8" s="229">
        <f>10*F5</f>
        <v>34.5</v>
      </c>
      <c r="G8" s="229">
        <f>10*G5</f>
        <v>32.5</v>
      </c>
      <c r="H8"/>
      <c r="I8" s="2" t="s">
        <v>257</v>
      </c>
      <c r="J8" s="219">
        <v>3.25</v>
      </c>
      <c r="K8" s="259">
        <v>3.6</v>
      </c>
      <c r="L8"/>
      <c r="M8"/>
      <c r="N8"/>
      <c r="O8"/>
      <c r="P8"/>
      <c r="Q8"/>
      <c r="R8"/>
      <c r="S8"/>
      <c r="T8"/>
    </row>
    <row r="9" spans="1:20" ht="15.75">
      <c r="A9" s="224" t="s">
        <v>65</v>
      </c>
      <c r="B9" s="253"/>
      <c r="C9" s="225"/>
      <c r="D9" s="229">
        <v>0</v>
      </c>
      <c r="E9" s="229">
        <v>0</v>
      </c>
      <c r="F9" s="229">
        <v>0</v>
      </c>
      <c r="G9" s="229">
        <v>0</v>
      </c>
      <c r="H9"/>
      <c r="I9" s="2" t="s">
        <v>258</v>
      </c>
      <c r="J9" s="219">
        <v>5.9</v>
      </c>
      <c r="K9" s="259">
        <v>6.2</v>
      </c>
      <c r="L9"/>
      <c r="M9"/>
      <c r="N9"/>
      <c r="O9"/>
      <c r="P9"/>
      <c r="Q9"/>
      <c r="R9"/>
      <c r="S9"/>
      <c r="T9"/>
    </row>
    <row r="10" spans="1:20" ht="15.75">
      <c r="A10" s="224" t="s">
        <v>308</v>
      </c>
      <c r="B10" s="253"/>
      <c r="C10" s="225"/>
      <c r="D10" s="229">
        <v>30</v>
      </c>
      <c r="E10" s="229">
        <v>30</v>
      </c>
      <c r="F10" s="229">
        <v>30</v>
      </c>
      <c r="G10" s="229">
        <v>30</v>
      </c>
      <c r="H10"/>
      <c r="I10" s="2" t="s">
        <v>303</v>
      </c>
      <c r="J10" s="187">
        <f>J8*J9</f>
        <v>19.175</v>
      </c>
      <c r="K10" s="188">
        <f>K8*K9</f>
        <v>22.32</v>
      </c>
      <c r="L10"/>
      <c r="M10"/>
      <c r="N10"/>
      <c r="O10"/>
      <c r="P10"/>
      <c r="Q10"/>
      <c r="R10"/>
      <c r="S10"/>
      <c r="T10"/>
    </row>
    <row r="11" spans="1:20" ht="15.75">
      <c r="A11" s="224" t="s">
        <v>114</v>
      </c>
      <c r="B11" s="253"/>
      <c r="C11" s="225"/>
      <c r="D11" s="229">
        <v>150</v>
      </c>
      <c r="E11" s="229">
        <v>150</v>
      </c>
      <c r="F11" s="229">
        <v>150</v>
      </c>
      <c r="G11" s="229">
        <v>150</v>
      </c>
      <c r="H11"/>
      <c r="I11" s="2" t="s">
        <v>295</v>
      </c>
      <c r="J11" s="189">
        <f>0.1*J7</f>
        <v>21.53846153846154</v>
      </c>
      <c r="K11" s="189">
        <f>0.1*K7</f>
        <v>16.666666666666668</v>
      </c>
      <c r="L11"/>
      <c r="M11"/>
      <c r="N11"/>
      <c r="O11"/>
      <c r="P11"/>
      <c r="Q11"/>
      <c r="R11"/>
      <c r="S11"/>
      <c r="T11"/>
    </row>
    <row r="12" spans="1:20" ht="15.75">
      <c r="A12" s="256" t="s">
        <v>344</v>
      </c>
      <c r="B12" s="257"/>
      <c r="C12" s="225"/>
      <c r="D12" s="258"/>
      <c r="E12" s="258"/>
      <c r="F12" s="258"/>
      <c r="G12" s="258"/>
      <c r="H12"/>
      <c r="I12" s="2" t="s">
        <v>296</v>
      </c>
      <c r="J12" s="189">
        <v>18.7</v>
      </c>
      <c r="K12" s="190">
        <v>12.75</v>
      </c>
      <c r="L12"/>
      <c r="M12"/>
      <c r="N12"/>
      <c r="O12"/>
      <c r="P12"/>
      <c r="Q12"/>
      <c r="R12"/>
      <c r="S12"/>
      <c r="T12"/>
    </row>
    <row r="13" spans="1:20" ht="15.75">
      <c r="A13" s="206" t="s">
        <v>209</v>
      </c>
      <c r="B13" s="225"/>
      <c r="C13" s="225"/>
      <c r="D13" s="229">
        <v>112</v>
      </c>
      <c r="E13" s="229">
        <v>111</v>
      </c>
      <c r="F13" s="229">
        <v>98</v>
      </c>
      <c r="G13" s="229">
        <v>89</v>
      </c>
      <c r="H13"/>
      <c r="I13" s="2" t="s">
        <v>93</v>
      </c>
      <c r="J13" s="231">
        <v>0.015</v>
      </c>
      <c r="K13" s="261">
        <v>0.0075</v>
      </c>
      <c r="L13" s="3"/>
      <c r="M13"/>
      <c r="N13"/>
      <c r="O13"/>
      <c r="P13"/>
      <c r="Q13"/>
      <c r="R13"/>
      <c r="S13"/>
      <c r="T13"/>
    </row>
    <row r="14" spans="1:20" ht="15.75">
      <c r="A14" s="206" t="s">
        <v>210</v>
      </c>
      <c r="B14" s="225"/>
      <c r="C14" s="225"/>
      <c r="D14" s="229">
        <v>104</v>
      </c>
      <c r="E14" s="229">
        <v>103</v>
      </c>
      <c r="F14" s="229">
        <v>91</v>
      </c>
      <c r="G14" s="229">
        <v>82</v>
      </c>
      <c r="H14"/>
      <c r="I14" s="156" t="s">
        <v>206</v>
      </c>
      <c r="J14" s="262">
        <v>22</v>
      </c>
      <c r="K14" s="262">
        <v>28</v>
      </c>
      <c r="L14" s="4"/>
      <c r="M14"/>
      <c r="N14"/>
      <c r="O14"/>
      <c r="P14"/>
      <c r="Q14"/>
      <c r="R14"/>
      <c r="S14"/>
      <c r="T14"/>
    </row>
    <row r="15" spans="1:20" ht="15.75">
      <c r="A15" s="206" t="s">
        <v>341</v>
      </c>
      <c r="B15" s="225"/>
      <c r="C15" s="225"/>
      <c r="D15" s="229">
        <v>86</v>
      </c>
      <c r="E15" s="229">
        <v>85</v>
      </c>
      <c r="F15" s="229">
        <v>83</v>
      </c>
      <c r="G15" s="229">
        <v>75</v>
      </c>
      <c r="H15"/>
      <c r="I15" s="156" t="s">
        <v>138</v>
      </c>
      <c r="J15" s="157">
        <f>Inputs!G69</f>
        <v>0.43</v>
      </c>
      <c r="K15" s="157">
        <f>Inputs!G69</f>
        <v>0.43</v>
      </c>
      <c r="L15"/>
      <c r="M15"/>
      <c r="N15"/>
      <c r="O15"/>
      <c r="P15"/>
      <c r="Q15"/>
      <c r="R15"/>
      <c r="S15"/>
      <c r="T15"/>
    </row>
    <row r="16" spans="1:20" ht="15.75">
      <c r="A16" s="4"/>
      <c r="B16" s="151"/>
      <c r="D16" s="36"/>
      <c r="F16" s="4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.75">
      <c r="A17" s="4" t="s">
        <v>452</v>
      </c>
      <c r="B17" s="151"/>
      <c r="D17" s="36"/>
      <c r="F17" s="4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.75">
      <c r="A18" s="4" t="str">
        <f>J3</f>
        <v>Calf</v>
      </c>
      <c r="B18" s="151"/>
      <c r="D18" s="36"/>
      <c r="F18" s="4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.75">
      <c r="A19" s="4" t="s">
        <v>453</v>
      </c>
      <c r="B19" s="151"/>
      <c r="D19" s="36">
        <f>(D$5*'Assumptions and Rations'!$G$28+'Assumptions and Rations'!$G$29*D$7+D$8*'Assumptions and Rations'!$G$30+'Assumptions and Rations'!$G$31*$D$6+$J$13*$J$4*$D$13/100+$J$11+$J$12+$J$15*$J$7+(($J4/100*D$13+0.5*(D$5*'Assumptions and Rations'!$G$28+'Assumptions and Rations'!$G$29*D$7+D$8*'Assumptions and Rations'!$G$30+'Assumptions and Rations'!$G$31*$D$6))*Inputs!$D$62*$J$7/365))/($J$6-$J$4)</f>
        <v>0.5675866634871684</v>
      </c>
      <c r="E19" s="36">
        <f>(E$5*'Assumptions and Rations'!$G$28+'Assumptions and Rations'!$G$29*E$7+E$8*'Assumptions and Rations'!$G$30+'Assumptions and Rations'!$G$31*$D$6+$J$13*$J$4*$D$13/100+$J$12+$J$15*$J$7+(($J4/100*E$13+0.5*(E$5*'Assumptions and Rations'!$G$28+'Assumptions and Rations'!$G$29*E$7+E$8*'Assumptions and Rations'!$G$30+'Assumptions and Rations'!$G$31*$D$6))*Inputs!$D$62*$J$7/365))/($J$6-$J$4)</f>
        <v>0.5427908488333173</v>
      </c>
      <c r="F19" s="36">
        <f>(F$5*'Assumptions and Rations'!$G$28+'Assumptions and Rations'!$G$29*F$7+F$8*'Assumptions and Rations'!$G$30+'Assumptions and Rations'!$G$31*$D$6+$J$13*$J$4*$D$13/100+$J$12+$J$15*$J$7+(($J4/100*F$13+0.5*(F$5*'Assumptions and Rations'!$G$28+'Assumptions and Rations'!$G$29*F$7+F$8*'Assumptions and Rations'!$G$30+'Assumptions and Rations'!$G$31*$D$6))*Inputs!$D$62*$J$7/365))/($J$6-$J$4)</f>
        <v>0.5511676073022221</v>
      </c>
      <c r="G19" s="36">
        <f>(G$5*'Assumptions and Rations'!$G$28+'Assumptions and Rations'!$G$29*G$7+G$8*'Assumptions and Rations'!$G$30+'Assumptions and Rations'!$G$31*$D$6+$J$13*$J$4*$D$13/100+$J$12+$J$15*$J$7+(($J4/100*G$13+0.5*(G$5*'Assumptions and Rations'!$G$28+'Assumptions and Rations'!$G$29*G$7+G$8*'Assumptions and Rations'!$G$30+'Assumptions and Rations'!$G$31*$D$6))*Inputs!$D$62*$J$7/365))/($J$6-$J$4)</f>
        <v>0.5356507013096081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.75">
      <c r="A20" s="4" t="s">
        <v>454</v>
      </c>
      <c r="B20" s="151"/>
      <c r="D20" s="36">
        <f>(D19*($J6-$J4)+$J14+$J4*D13/100)/$J6</f>
        <v>0.8282485315528142</v>
      </c>
      <c r="E20" s="36">
        <f>(E19*($J6-$J4)+$J14+$J4*E13/100)/$J6</f>
        <v>0.8099628753466577</v>
      </c>
      <c r="F20" s="36">
        <f>(F19*($J6-$J4)+$J14+$J4*F13/100)/$J6</f>
        <v>0.7574538600892443</v>
      </c>
      <c r="G20" s="36">
        <f>(G19*($J6-$J4)+$J14+$J4*G13/100)/$J6</f>
        <v>0.7091643927333805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.75">
      <c r="A21" s="4" t="s">
        <v>455</v>
      </c>
      <c r="B21" s="151"/>
      <c r="D21" s="36">
        <v>10</v>
      </c>
      <c r="E21" s="36">
        <v>10</v>
      </c>
      <c r="F21" s="36">
        <v>10</v>
      </c>
      <c r="G21" s="36">
        <v>10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.75">
      <c r="A22" s="4" t="s">
        <v>456</v>
      </c>
      <c r="B22" s="151"/>
      <c r="D22" s="36">
        <f>(D15/100-D20)*$J6+D21</f>
        <v>49.68933555898224</v>
      </c>
      <c r="E22" s="36">
        <f>(E15/100-E20)*$J6+E21</f>
        <v>60.04640581667788</v>
      </c>
      <c r="F22" s="36">
        <f>(F15/100-F20)*$J6+F21</f>
        <v>100.68267488844455</v>
      </c>
      <c r="G22" s="36">
        <f>(G15/100-G20)*$J6+G21</f>
        <v>61.04450908327438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.75">
      <c r="A23" s="4" t="str">
        <f>K3</f>
        <v>Yearling</v>
      </c>
      <c r="B23" s="151"/>
      <c r="D23" s="36"/>
      <c r="E23" s="36"/>
      <c r="F23" s="36"/>
      <c r="G23" s="36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.75">
      <c r="A24" s="4" t="s">
        <v>453</v>
      </c>
      <c r="B24" s="151"/>
      <c r="D24" s="36">
        <f>(D$5*'Assumptions and Rations'!$H$28+'Assumptions and Rations'!$H$29*D$7+D$8*'Assumptions and Rations'!$H$30+'Assumptions and Rations'!$H$31*$D$6+$K$13*$K$4*$D$13/100+$K$11+$K$12+$K$15*$K$7+(($K9/100*D$13+0.5*(D$5*'Assumptions and Rations'!$H$28+'Assumptions and Rations'!$H$29*D$7+D$8*'Assumptions and Rations'!$H$30+'Assumptions and Rations'!$H$31*$D$6))*Inputs!$D$62*$K$7/365))/($K$6-$K$4)</f>
        <v>0.5226994231706393</v>
      </c>
      <c r="E24" s="36">
        <f>(E$5*'Assumptions and Rations'!$H$28+'Assumptions and Rations'!$H$29*E$7+E$8*'Assumptions and Rations'!$H$30+'Assumptions and Rations'!$H$31*$D$6+$K$13*$K$4*$D$13/100+$K$12+$K$15*$K$7+(($K9/100*E$13+0.5*(E$5*'Assumptions and Rations'!$H$28+'Assumptions and Rations'!$H$29*E$7+E$8*'Assumptions and Rations'!$H$30+'Assumptions and Rations'!$H$31*$D$6))*Inputs!$D$62*$K$7/365))/($K$6-$K$4)</f>
        <v>0.5015062545826415</v>
      </c>
      <c r="F24" s="36">
        <f>(F$5*'Assumptions and Rations'!$H$28+'Assumptions and Rations'!$H$29*F$7+F$8*'Assumptions and Rations'!$H$30+'Assumptions and Rations'!$H$31*$D$6+$K$13*$K$4*$D$13/100+$K$12+$K$15*$K$7+(($K9/100*F$13+0.5*(F$5*'Assumptions and Rations'!$H$28+'Assumptions and Rations'!$H$29*F$7+F$8*'Assumptions and Rations'!$H$30+'Assumptions and Rations'!$H$31*$D$6))*Inputs!$D$62*$K$7/365))/($K$6-$K$4)</f>
        <v>0.514639141150938</v>
      </c>
      <c r="G24" s="36">
        <f>(G$5*'Assumptions and Rations'!$H$28+'Assumptions and Rations'!$H$29*G$7+G$8*'Assumptions and Rations'!$H$30+'Assumptions and Rations'!$H$31*$D$6+$K$13*$K$4*$D$13/100+$K$12+$K$15*$K$7+(($K9/100*G$13+0.5*(G$5*'Assumptions and Rations'!$H$28+'Assumptions and Rations'!$H$29*G$7+G$8*'Assumptions and Rations'!$H$30+'Assumptions and Rations'!$H$31*$D$6))*Inputs!$D$62*$K$7/365))/($K$6-$K$4)</f>
        <v>0.5014335909601149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.75">
      <c r="A25" s="4" t="s">
        <v>454</v>
      </c>
      <c r="B25" s="151"/>
      <c r="D25" s="36">
        <f>(D24*($K6-$K4)+$K14+$K4*D14/100)/$K6</f>
        <v>0.8308293732610249</v>
      </c>
      <c r="E25" s="36">
        <f>(E24*($K6-$K4)+$K14+$K4*E14/100)/$K6</f>
        <v>0.8158546316663591</v>
      </c>
      <c r="F25" s="36">
        <f>(F24*($K6-$K4)+$K14+$K4*F14/100)/$K6</f>
        <v>0.755024803474491</v>
      </c>
      <c r="G25" s="36">
        <f>(G24*($K6-$K4)+$K14+$K4*G14/100)/$K6</f>
        <v>0.6991556700563474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.75">
      <c r="A26" s="4" t="s">
        <v>455</v>
      </c>
      <c r="B26" s="151"/>
      <c r="D26" s="36">
        <v>10</v>
      </c>
      <c r="E26" s="36">
        <v>10</v>
      </c>
      <c r="F26" s="36">
        <v>10</v>
      </c>
      <c r="G26" s="36">
        <v>10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.75">
      <c r="A27" s="4" t="s">
        <v>456</v>
      </c>
      <c r="B27" s="151"/>
      <c r="D27" s="36">
        <f>(D15/100-D25)*$K6+$D26</f>
        <v>49.38034609761636</v>
      </c>
      <c r="E27" s="36">
        <f>(E15/100-E25)*$K6+$D26</f>
        <v>56.09624725041522</v>
      </c>
      <c r="F27" s="36">
        <f>(F15/100-F25)*$K6+$D26</f>
        <v>111.21651530943714</v>
      </c>
      <c r="G27" s="36">
        <f>(G15/100-G25)*$K6+$D26</f>
        <v>78.63984542393104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.75">
      <c r="A28" s="4"/>
      <c r="B28" s="151"/>
      <c r="D28" s="36"/>
      <c r="F28" s="4"/>
      <c r="G28" s="4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.75">
      <c r="A29" s="4"/>
      <c r="B29" s="151"/>
      <c r="D29" s="36"/>
      <c r="F29" s="4"/>
      <c r="G29" s="4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.75">
      <c r="A30"/>
      <c r="B30" s="152"/>
      <c r="I30"/>
      <c r="J30"/>
      <c r="K30"/>
      <c r="P30"/>
      <c r="Q30"/>
      <c r="R30"/>
      <c r="S30"/>
      <c r="T30"/>
    </row>
    <row r="31" spans="1:20" ht="15.75">
      <c r="A31"/>
      <c r="B31" s="152"/>
      <c r="L31" s="18"/>
      <c r="M31" s="18"/>
      <c r="N31" s="18"/>
      <c r="O31" s="18"/>
      <c r="P31"/>
      <c r="Q31"/>
      <c r="R31"/>
      <c r="S31"/>
      <c r="T31"/>
    </row>
    <row r="32" spans="1:15" ht="15.75">
      <c r="A32"/>
      <c r="B32" s="152"/>
      <c r="C32" s="33" t="s">
        <v>115</v>
      </c>
      <c r="D32" s="18"/>
      <c r="E32" s="18"/>
      <c r="F32" s="18"/>
      <c r="G32" s="18"/>
      <c r="H32" s="18"/>
      <c r="I32" s="18"/>
      <c r="J32" s="18"/>
      <c r="K32" s="18"/>
      <c r="L32" s="35" t="s">
        <v>97</v>
      </c>
      <c r="M32" s="35" t="s">
        <v>98</v>
      </c>
      <c r="N32" s="35" t="s">
        <v>100</v>
      </c>
      <c r="O32" s="35" t="s">
        <v>119</v>
      </c>
    </row>
    <row r="33" spans="1:15" ht="15.75">
      <c r="A33" s="1" t="s">
        <v>110</v>
      </c>
      <c r="B33" s="150"/>
      <c r="C33" s="33" t="s">
        <v>85</v>
      </c>
      <c r="D33" s="35" t="s">
        <v>87</v>
      </c>
      <c r="E33" s="35" t="s">
        <v>89</v>
      </c>
      <c r="F33" s="35" t="s">
        <v>90</v>
      </c>
      <c r="G33" s="35" t="s">
        <v>92</v>
      </c>
      <c r="H33" s="35" t="s">
        <v>94</v>
      </c>
      <c r="I33" s="35" t="s">
        <v>116</v>
      </c>
      <c r="J33" s="35" t="s">
        <v>117</v>
      </c>
      <c r="K33" s="35" t="s">
        <v>118</v>
      </c>
      <c r="L33" s="32">
        <v>0.92</v>
      </c>
      <c r="M33" s="32">
        <v>0.9</v>
      </c>
      <c r="N33" s="32">
        <v>0.92</v>
      </c>
      <c r="O33" s="32">
        <f aca="true" t="shared" si="0" ref="O33:O39">+AVERAGE(C33:N33)</f>
        <v>0.9133333333333334</v>
      </c>
    </row>
    <row r="34" spans="1:15" ht="15.75">
      <c r="A34" s="4" t="str">
        <f>A5</f>
        <v>Corn $/bu</v>
      </c>
      <c r="B34" s="151"/>
      <c r="C34" s="153">
        <v>0.95</v>
      </c>
      <c r="D34" s="32">
        <v>0.98</v>
      </c>
      <c r="E34" s="32">
        <v>1</v>
      </c>
      <c r="F34" s="32">
        <v>1.02</v>
      </c>
      <c r="G34" s="32">
        <v>1.04</v>
      </c>
      <c r="H34" s="32">
        <v>1.08</v>
      </c>
      <c r="I34" s="32">
        <v>1.1</v>
      </c>
      <c r="J34" s="32">
        <v>1.15</v>
      </c>
      <c r="K34" s="32">
        <v>0.94</v>
      </c>
      <c r="L34" s="32">
        <v>0.92</v>
      </c>
      <c r="M34" s="32">
        <v>0.9</v>
      </c>
      <c r="N34" s="32">
        <v>0.92</v>
      </c>
      <c r="O34" s="32">
        <f t="shared" si="0"/>
        <v>1</v>
      </c>
    </row>
    <row r="35" spans="1:15" ht="15.75">
      <c r="A35" s="4" t="str">
        <f>A6</f>
        <v>WDGS (%DM, % corn p)</v>
      </c>
      <c r="B35" s="151"/>
      <c r="C35" s="153">
        <v>0.95</v>
      </c>
      <c r="D35" s="32">
        <v>0.98</v>
      </c>
      <c r="E35" s="32">
        <v>1</v>
      </c>
      <c r="F35" s="32">
        <v>1.02</v>
      </c>
      <c r="G35" s="32">
        <v>1.04</v>
      </c>
      <c r="H35" s="32">
        <v>1.08</v>
      </c>
      <c r="I35" s="32">
        <v>1.1</v>
      </c>
      <c r="J35" s="32">
        <v>1.15</v>
      </c>
      <c r="K35" s="32">
        <v>0.94</v>
      </c>
      <c r="L35" s="32">
        <v>1</v>
      </c>
      <c r="M35" s="32">
        <v>1.02</v>
      </c>
      <c r="N35" s="32">
        <v>1.02</v>
      </c>
      <c r="O35" s="32">
        <f t="shared" si="0"/>
        <v>1.025</v>
      </c>
    </row>
    <row r="36" spans="1:15" ht="15.75">
      <c r="A36" s="4" t="s">
        <v>112</v>
      </c>
      <c r="B36" s="151"/>
      <c r="C36" s="153">
        <v>1.04</v>
      </c>
      <c r="D36" s="32">
        <v>1.08</v>
      </c>
      <c r="E36" s="32">
        <v>1.09</v>
      </c>
      <c r="F36" s="32">
        <v>1.03</v>
      </c>
      <c r="G36" s="32">
        <v>1</v>
      </c>
      <c r="H36" s="32">
        <v>0.92</v>
      </c>
      <c r="I36" s="32">
        <v>0.9</v>
      </c>
      <c r="J36" s="32">
        <v>0.92</v>
      </c>
      <c r="K36" s="32">
        <v>0.98</v>
      </c>
      <c r="L36" s="32">
        <v>1</v>
      </c>
      <c r="M36" s="32">
        <v>1</v>
      </c>
      <c r="N36" s="32">
        <v>1</v>
      </c>
      <c r="O36" s="32">
        <f t="shared" si="0"/>
        <v>0.9966666666666667</v>
      </c>
    </row>
    <row r="37" spans="1:15" ht="15.75">
      <c r="A37" s="4" t="s">
        <v>65</v>
      </c>
      <c r="B37" s="151"/>
      <c r="C37" s="153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f t="shared" si="0"/>
        <v>1</v>
      </c>
    </row>
    <row r="38" spans="1:15" ht="15.75">
      <c r="A38" s="4" t="s">
        <v>65</v>
      </c>
      <c r="B38" s="151"/>
      <c r="C38" s="153">
        <v>1</v>
      </c>
      <c r="D38" s="32">
        <v>1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2">
        <f t="shared" si="0"/>
        <v>1</v>
      </c>
    </row>
    <row r="39" spans="1:15" ht="15.75">
      <c r="A39" s="4" t="s">
        <v>113</v>
      </c>
      <c r="B39" s="151"/>
      <c r="C39" s="153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2">
        <f t="shared" si="0"/>
        <v>1</v>
      </c>
    </row>
    <row r="40" spans="1:15" ht="15.75">
      <c r="A40" s="4" t="s">
        <v>114</v>
      </c>
      <c r="B40" s="151"/>
      <c r="C40" s="153">
        <v>1</v>
      </c>
      <c r="D40" s="32">
        <v>1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/>
      <c r="M40" s="32"/>
      <c r="N40" s="32"/>
      <c r="O40" s="32"/>
    </row>
    <row r="41" spans="1:11" ht="15.75">
      <c r="A41" s="1" t="s">
        <v>343</v>
      </c>
      <c r="B41" s="150"/>
      <c r="C41" s="153"/>
      <c r="D41" s="32"/>
      <c r="E41" s="32"/>
      <c r="F41" s="32"/>
      <c r="G41" s="32"/>
      <c r="H41" s="32"/>
      <c r="I41" s="32"/>
      <c r="J41" s="32"/>
      <c r="K41" s="32"/>
    </row>
    <row r="42" spans="1:15" ht="15.75">
      <c r="A42" s="2" t="s">
        <v>120</v>
      </c>
      <c r="L42" s="2">
        <v>1</v>
      </c>
      <c r="M42" s="2">
        <v>1</v>
      </c>
      <c r="N42" s="2">
        <v>1.1</v>
      </c>
      <c r="O42" s="32">
        <f>+AVERAGE(C42:N42)</f>
        <v>1.0333333333333334</v>
      </c>
    </row>
    <row r="43" spans="1:15" ht="15.75">
      <c r="A43" s="4" t="s">
        <v>45</v>
      </c>
      <c r="B43" s="151"/>
      <c r="C43" s="3">
        <v>1.1</v>
      </c>
      <c r="D43" s="2">
        <v>1.1</v>
      </c>
      <c r="E43" s="2">
        <v>1.1</v>
      </c>
      <c r="F43" s="2">
        <v>1</v>
      </c>
      <c r="G43" s="2">
        <v>0.9</v>
      </c>
      <c r="H43" s="2">
        <v>0.9</v>
      </c>
      <c r="I43" s="2">
        <v>0.9</v>
      </c>
      <c r="J43" s="2">
        <v>0.9</v>
      </c>
      <c r="K43" s="2">
        <v>1</v>
      </c>
      <c r="L43" s="2">
        <v>1</v>
      </c>
      <c r="M43" s="2">
        <v>1.3</v>
      </c>
      <c r="N43" s="2">
        <v>1.3</v>
      </c>
      <c r="O43" s="32">
        <f>+AVERAGE(C43:N43)</f>
        <v>1.041666666666667</v>
      </c>
    </row>
    <row r="44" spans="1:11" ht="15.75">
      <c r="A44" s="2" t="s">
        <v>46</v>
      </c>
      <c r="C44" s="3">
        <v>1.3</v>
      </c>
      <c r="D44" s="2">
        <v>1.3</v>
      </c>
      <c r="E44" s="2">
        <v>1.3</v>
      </c>
      <c r="F44" s="2">
        <v>1</v>
      </c>
      <c r="G44" s="2">
        <v>0.7</v>
      </c>
      <c r="H44" s="2">
        <v>0.7</v>
      </c>
      <c r="I44" s="2">
        <v>0.7</v>
      </c>
      <c r="J44" s="2">
        <v>0.7</v>
      </c>
      <c r="K44" s="2">
        <v>0.7</v>
      </c>
    </row>
    <row r="45" spans="1:14" ht="15.75">
      <c r="A45" s="18" t="s">
        <v>342</v>
      </c>
      <c r="B45" s="33"/>
      <c r="F45" s="4"/>
      <c r="G45" s="4"/>
      <c r="L45" s="113">
        <v>0.9739</v>
      </c>
      <c r="M45" s="113">
        <v>0.9987999999999999</v>
      </c>
      <c r="N45" s="113">
        <v>1.0242</v>
      </c>
    </row>
    <row r="46" spans="1:14" ht="15.75">
      <c r="A46" s="2" t="s">
        <v>209</v>
      </c>
      <c r="C46" s="154">
        <v>0.9548000000000001</v>
      </c>
      <c r="D46" s="113">
        <v>0.98</v>
      </c>
      <c r="E46" s="113">
        <v>1.0145</v>
      </c>
      <c r="F46" s="114">
        <v>1.0231999999999999</v>
      </c>
      <c r="G46" s="114">
        <v>1.0215</v>
      </c>
      <c r="H46" s="113">
        <v>1.0092</v>
      </c>
      <c r="I46" s="113">
        <v>1.0173999999999999</v>
      </c>
      <c r="J46" s="113">
        <v>0.9998</v>
      </c>
      <c r="K46" s="113">
        <v>0.9826999999999999</v>
      </c>
      <c r="L46" s="113">
        <v>1.0401</v>
      </c>
      <c r="M46" s="113">
        <v>1.0464</v>
      </c>
      <c r="N46" s="113">
        <v>1.053</v>
      </c>
    </row>
    <row r="47" spans="1:14" ht="15.75">
      <c r="A47" s="2" t="s">
        <v>210</v>
      </c>
      <c r="C47" s="154">
        <v>0.9541</v>
      </c>
      <c r="D47" s="113">
        <v>0.9394</v>
      </c>
      <c r="E47" s="113">
        <v>0.9395</v>
      </c>
      <c r="F47" s="114">
        <v>0.9612999999999999</v>
      </c>
      <c r="G47" s="114">
        <v>0.9763</v>
      </c>
      <c r="H47" s="113">
        <v>1.0118</v>
      </c>
      <c r="I47" s="113">
        <v>1.0256</v>
      </c>
      <c r="J47" s="113">
        <v>1.0273</v>
      </c>
      <c r="K47" s="113">
        <v>1.0252</v>
      </c>
      <c r="L47" s="113">
        <v>1.0164</v>
      </c>
      <c r="M47" s="113">
        <v>1.0345</v>
      </c>
      <c r="N47" s="113">
        <v>1.0283</v>
      </c>
    </row>
    <row r="48" spans="1:14" ht="15.75">
      <c r="A48" s="2" t="s">
        <v>341</v>
      </c>
      <c r="C48" s="154">
        <v>0.9901000000000001</v>
      </c>
      <c r="D48" s="113">
        <v>0.9843999999999999</v>
      </c>
      <c r="E48" s="113">
        <v>1.0179</v>
      </c>
      <c r="F48" s="114">
        <v>1.0176</v>
      </c>
      <c r="G48" s="114">
        <v>1.0072</v>
      </c>
      <c r="H48" s="113">
        <v>0.9872</v>
      </c>
      <c r="I48" s="113">
        <v>0.9625</v>
      </c>
      <c r="J48" s="113">
        <v>0.9699</v>
      </c>
      <c r="K48" s="113">
        <v>0.9841</v>
      </c>
      <c r="L48" s="111"/>
      <c r="M48" s="111"/>
      <c r="N48" s="111"/>
    </row>
    <row r="49" spans="3:14" ht="15.75">
      <c r="C49" s="153"/>
      <c r="D49" s="111"/>
      <c r="E49" s="111"/>
      <c r="F49" s="112"/>
      <c r="G49" s="112"/>
      <c r="H49" s="111"/>
      <c r="I49" s="111"/>
      <c r="J49" s="111"/>
      <c r="K49" s="111"/>
      <c r="L49" s="111"/>
      <c r="M49" s="111"/>
      <c r="N49" s="111"/>
    </row>
    <row r="50" spans="3:11" ht="15.75">
      <c r="C50" s="153"/>
      <c r="D50" s="111"/>
      <c r="E50" s="111"/>
      <c r="F50" s="112"/>
      <c r="G50" s="112"/>
      <c r="H50" s="111"/>
      <c r="I50" s="111"/>
      <c r="J50" s="111"/>
      <c r="K50" s="111"/>
    </row>
    <row r="51" spans="6:7" ht="15.75">
      <c r="F51" s="4"/>
      <c r="G51" s="4"/>
    </row>
    <row r="52" spans="6:7" ht="15.75">
      <c r="F52" s="4"/>
      <c r="G52" s="4"/>
    </row>
    <row r="53" spans="1:7" ht="15.75">
      <c r="A53" s="1" t="s">
        <v>180</v>
      </c>
      <c r="B53" s="150"/>
      <c r="F53" s="4"/>
      <c r="G53" s="4"/>
    </row>
    <row r="54" spans="1:4" ht="15.75">
      <c r="A54" s="4" t="s">
        <v>121</v>
      </c>
      <c r="B54" s="151"/>
      <c r="D54" s="5" t="s">
        <v>122</v>
      </c>
    </row>
    <row r="55" spans="1:4" ht="15.75">
      <c r="A55" s="4" t="s">
        <v>123</v>
      </c>
      <c r="B55" s="151"/>
      <c r="D55" s="36">
        <v>14</v>
      </c>
    </row>
    <row r="56" spans="1:4" ht="15.75">
      <c r="A56" s="4" t="s">
        <v>124</v>
      </c>
      <c r="B56" s="151"/>
      <c r="D56" s="26">
        <v>10.5</v>
      </c>
    </row>
    <row r="57" spans="1:4" ht="15.75">
      <c r="A57" s="4" t="s">
        <v>125</v>
      </c>
      <c r="B57" s="151"/>
      <c r="D57" s="26">
        <v>7</v>
      </c>
    </row>
    <row r="58" spans="1:2" ht="15.75">
      <c r="A58" s="4" t="s">
        <v>126</v>
      </c>
      <c r="B58" s="151"/>
    </row>
    <row r="59" spans="1:4" ht="15.75">
      <c r="A59" s="4" t="s">
        <v>123</v>
      </c>
      <c r="B59" s="151"/>
      <c r="D59" s="36">
        <v>7</v>
      </c>
    </row>
    <row r="60" spans="1:4" ht="15.75">
      <c r="A60" s="4" t="s">
        <v>124</v>
      </c>
      <c r="B60" s="151"/>
      <c r="D60" s="26">
        <v>5.5</v>
      </c>
    </row>
    <row r="61" spans="1:4" ht="15.75">
      <c r="A61" s="4" t="s">
        <v>125</v>
      </c>
      <c r="B61" s="151"/>
      <c r="D61" s="26">
        <v>4</v>
      </c>
    </row>
  </sheetData>
  <printOptions/>
  <pageMargins left="0.5" right="0.25" top="1" bottom="1" header="0.5" footer="0.5"/>
  <pageSetup fitToHeight="1" fitToWidth="1" horizontalDpi="300" verticalDpi="300" orientation="landscape" scale="75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workbookViewId="0" topLeftCell="A1">
      <selection activeCell="B5" sqref="B5"/>
    </sheetView>
  </sheetViews>
  <sheetFormatPr defaultColWidth="8.796875" defaultRowHeight="15"/>
  <cols>
    <col min="1" max="1" width="20" style="2" customWidth="1"/>
    <col min="2" max="2" width="10.59765625" style="2" customWidth="1"/>
    <col min="3" max="3" width="8.8984375" style="2" customWidth="1"/>
    <col min="4" max="4" width="10" style="2" customWidth="1"/>
    <col min="5" max="13" width="8.8984375" style="2" customWidth="1"/>
    <col min="14" max="14" width="10" style="2" customWidth="1"/>
    <col min="15" max="16384" width="8.8984375" style="2" customWidth="1"/>
  </cols>
  <sheetData>
    <row r="1" spans="1:13" ht="15.75">
      <c r="A1" s="18" t="s">
        <v>200</v>
      </c>
      <c r="B1" s="77">
        <v>38353</v>
      </c>
      <c r="C1" s="77">
        <v>38384</v>
      </c>
      <c r="D1" s="77">
        <v>38412</v>
      </c>
      <c r="E1" s="77">
        <v>38443</v>
      </c>
      <c r="F1" s="77">
        <v>38473</v>
      </c>
      <c r="G1" s="77">
        <v>38504</v>
      </c>
      <c r="H1" s="77">
        <v>38534</v>
      </c>
      <c r="I1" s="77">
        <v>38565</v>
      </c>
      <c r="J1" s="77">
        <v>38596</v>
      </c>
      <c r="K1" s="77">
        <v>38626</v>
      </c>
      <c r="L1" s="77">
        <v>38657</v>
      </c>
      <c r="M1" s="77">
        <v>38687</v>
      </c>
    </row>
    <row r="2" spans="1:14" ht="15.75">
      <c r="A2" s="18" t="s">
        <v>198</v>
      </c>
      <c r="B2" s="39">
        <v>0.43051444776441095</v>
      </c>
      <c r="C2" s="39">
        <v>0.35062598631025527</v>
      </c>
      <c r="D2" s="39">
        <v>0.28070947359419646</v>
      </c>
      <c r="E2" s="39">
        <v>0.2957436645422694</v>
      </c>
      <c r="F2" s="39">
        <v>0.22848494304049863</v>
      </c>
      <c r="G2" s="39">
        <v>0.28598033800283773</v>
      </c>
      <c r="H2" s="39">
        <v>0.29142636725854193</v>
      </c>
      <c r="I2" s="39">
        <v>0.2560855332130137</v>
      </c>
      <c r="J2" s="39">
        <v>0.319128850085671</v>
      </c>
      <c r="K2" s="39">
        <v>0.5855925151660192</v>
      </c>
      <c r="L2" s="39">
        <v>0.6201542223101456</v>
      </c>
      <c r="M2" s="39">
        <v>0.4917162053632642</v>
      </c>
      <c r="N2" s="39">
        <f>AVERAGE(B2:M2)</f>
        <v>0.369680212220927</v>
      </c>
    </row>
    <row r="3" spans="1:13" ht="15.75">
      <c r="A3" s="18" t="s">
        <v>199</v>
      </c>
      <c r="B3" s="39">
        <v>0.09553140096618357</v>
      </c>
      <c r="C3" s="39">
        <v>0.07499737018544192</v>
      </c>
      <c r="D3" s="39">
        <v>0.06987501266848078</v>
      </c>
      <c r="E3" s="39">
        <v>0.061956716500906665</v>
      </c>
      <c r="F3" s="39">
        <v>0.07164636381204298</v>
      </c>
      <c r="G3" s="39">
        <v>0.05706749381443496</v>
      </c>
      <c r="H3" s="39">
        <v>0.06992897308577277</v>
      </c>
      <c r="I3" s="39">
        <v>0.097926534721411</v>
      </c>
      <c r="J3" s="39">
        <v>0.11036299122813917</v>
      </c>
      <c r="K3" s="39">
        <v>0.13013573212124183</v>
      </c>
      <c r="L3" s="39">
        <v>0.09064688338796029</v>
      </c>
      <c r="M3" s="39">
        <v>0.07273081871500647</v>
      </c>
    </row>
    <row r="4" spans="1:17" ht="15.75">
      <c r="A4" s="2" t="s">
        <v>59</v>
      </c>
      <c r="B4" s="191">
        <v>400</v>
      </c>
      <c r="C4" s="191">
        <v>400</v>
      </c>
      <c r="D4" s="191">
        <v>400</v>
      </c>
      <c r="E4" s="191">
        <v>400</v>
      </c>
      <c r="F4" s="191">
        <v>400</v>
      </c>
      <c r="G4" s="191">
        <v>400</v>
      </c>
      <c r="H4" s="191">
        <v>400</v>
      </c>
      <c r="I4" s="191">
        <v>400</v>
      </c>
      <c r="J4" s="191">
        <v>400</v>
      </c>
      <c r="K4" s="191">
        <v>600</v>
      </c>
      <c r="L4" s="191">
        <v>400</v>
      </c>
      <c r="M4" s="191">
        <v>400</v>
      </c>
      <c r="N4" s="2">
        <f>SUM(B4:M4)</f>
        <v>5000</v>
      </c>
      <c r="O4" s="2">
        <v>3200</v>
      </c>
      <c r="Q4" s="2">
        <f>2800/5</f>
        <v>560</v>
      </c>
    </row>
    <row r="5" spans="1:15" ht="15.75">
      <c r="A5" s="2" t="s">
        <v>60</v>
      </c>
      <c r="B5" s="191">
        <v>400</v>
      </c>
      <c r="C5" s="191">
        <v>400</v>
      </c>
      <c r="D5" s="191">
        <v>400</v>
      </c>
      <c r="E5" s="191">
        <v>400</v>
      </c>
      <c r="F5" s="191">
        <v>400</v>
      </c>
      <c r="G5" s="191">
        <v>400</v>
      </c>
      <c r="H5" s="191">
        <v>400</v>
      </c>
      <c r="I5" s="191">
        <v>400</v>
      </c>
      <c r="J5" s="191">
        <v>600</v>
      </c>
      <c r="K5" s="191">
        <v>600</v>
      </c>
      <c r="L5" s="191">
        <v>400</v>
      </c>
      <c r="M5" s="191">
        <v>400</v>
      </c>
      <c r="N5" s="2">
        <f>SUM(B5:M5)</f>
        <v>5200</v>
      </c>
      <c r="O5" s="2">
        <v>5440</v>
      </c>
    </row>
    <row r="6" spans="1:15" ht="15.75">
      <c r="A6" s="18"/>
      <c r="B6" s="79">
        <f>+B4+B5</f>
        <v>800</v>
      </c>
      <c r="C6" s="79">
        <f aca="true" t="shared" si="0" ref="C6:M6">C4+C5</f>
        <v>800</v>
      </c>
      <c r="D6" s="79">
        <f t="shared" si="0"/>
        <v>800</v>
      </c>
      <c r="E6" s="79">
        <f t="shared" si="0"/>
        <v>800</v>
      </c>
      <c r="F6" s="79">
        <f t="shared" si="0"/>
        <v>800</v>
      </c>
      <c r="G6" s="79">
        <f t="shared" si="0"/>
        <v>800</v>
      </c>
      <c r="H6" s="79">
        <f t="shared" si="0"/>
        <v>800</v>
      </c>
      <c r="I6" s="79">
        <f t="shared" si="0"/>
        <v>800</v>
      </c>
      <c r="J6" s="79">
        <f t="shared" si="0"/>
        <v>1000</v>
      </c>
      <c r="K6" s="79">
        <f t="shared" si="0"/>
        <v>1200</v>
      </c>
      <c r="L6" s="79">
        <f t="shared" si="0"/>
        <v>800</v>
      </c>
      <c r="M6" s="79">
        <f t="shared" si="0"/>
        <v>800</v>
      </c>
      <c r="N6" s="2">
        <f>SUM(B6:M6)</f>
        <v>10200</v>
      </c>
      <c r="O6" s="2">
        <v>8640</v>
      </c>
    </row>
    <row r="7" spans="1:13" ht="15.75">
      <c r="A7" s="18"/>
      <c r="B7" s="79"/>
      <c r="C7" s="79"/>
      <c r="D7" s="79"/>
      <c r="E7" s="79"/>
      <c r="F7" s="79"/>
      <c r="G7" s="79"/>
      <c r="H7" s="2">
        <f>H5</f>
        <v>400</v>
      </c>
      <c r="I7" s="2">
        <f>+H7+I6</f>
        <v>1200</v>
      </c>
      <c r="J7" s="2">
        <f>+I7+J6</f>
        <v>2200</v>
      </c>
      <c r="K7" s="2">
        <f>+J7+K6</f>
        <v>3400</v>
      </c>
      <c r="L7" s="2">
        <f>+K7+L6</f>
        <v>4200</v>
      </c>
      <c r="M7" s="2">
        <f>+L7+M6</f>
        <v>5000</v>
      </c>
    </row>
    <row r="8" spans="1:15" ht="15.75">
      <c r="A8" s="18"/>
      <c r="B8" s="2">
        <f>+M7+B6-H7</f>
        <v>5400</v>
      </c>
      <c r="C8" s="2">
        <f>+B8+C6-I6</f>
        <v>5400</v>
      </c>
      <c r="D8" s="2">
        <f>+C8+D6-J6</f>
        <v>5200</v>
      </c>
      <c r="E8" s="2">
        <f>+D8+E6-K6</f>
        <v>4800</v>
      </c>
      <c r="F8" s="2">
        <f>+E8+F6-L6</f>
        <v>4800</v>
      </c>
      <c r="G8" s="2">
        <f>+F8+G6-M6</f>
        <v>4800</v>
      </c>
      <c r="H8" s="2">
        <f aca="true" t="shared" si="1" ref="H8:M8">+G8+H6-B6</f>
        <v>4800</v>
      </c>
      <c r="I8" s="2">
        <f t="shared" si="1"/>
        <v>4800</v>
      </c>
      <c r="J8" s="2">
        <f t="shared" si="1"/>
        <v>5000</v>
      </c>
      <c r="K8" s="2">
        <f t="shared" si="1"/>
        <v>5400</v>
      </c>
      <c r="L8" s="2">
        <f t="shared" si="1"/>
        <v>5400</v>
      </c>
      <c r="M8" s="2">
        <f t="shared" si="1"/>
        <v>5400</v>
      </c>
      <c r="N8" s="79">
        <f>AVERAGE(B8:M8)</f>
        <v>5100</v>
      </c>
      <c r="O8" s="39">
        <f>N8/Inputs!G11</f>
        <v>0.9107142857142857</v>
      </c>
    </row>
    <row r="9" spans="2:13" ht="15.75">
      <c r="B9" s="2">
        <f>+M8+B6-H6</f>
        <v>5400</v>
      </c>
      <c r="C9" s="2">
        <f>+B8+C6-I6</f>
        <v>5400</v>
      </c>
      <c r="D9" s="2">
        <f>+C8+D6-J6</f>
        <v>5200</v>
      </c>
      <c r="E9" s="2">
        <f>+D8+E6-K6</f>
        <v>4800</v>
      </c>
      <c r="F9" s="2">
        <f>+E8+F6-L6</f>
        <v>4800</v>
      </c>
      <c r="G9" s="2">
        <f>+F8+G6-M6</f>
        <v>4800</v>
      </c>
      <c r="H9" s="2">
        <f aca="true" t="shared" si="2" ref="H9:M9">+G8+H6-B6</f>
        <v>4800</v>
      </c>
      <c r="I9" s="2">
        <f t="shared" si="2"/>
        <v>4800</v>
      </c>
      <c r="J9" s="2">
        <f t="shared" si="2"/>
        <v>5000</v>
      </c>
      <c r="K9" s="2">
        <f t="shared" si="2"/>
        <v>5400</v>
      </c>
      <c r="L9" s="2">
        <f t="shared" si="2"/>
        <v>5400</v>
      </c>
      <c r="M9" s="2">
        <f t="shared" si="2"/>
        <v>5400</v>
      </c>
    </row>
    <row r="10" spans="1:13" ht="15.75">
      <c r="A10" s="18" t="s">
        <v>55</v>
      </c>
      <c r="D10" s="18" t="s">
        <v>56</v>
      </c>
      <c r="E10" s="39"/>
      <c r="F10" s="39"/>
      <c r="G10" s="39"/>
      <c r="H10" s="39"/>
      <c r="I10" s="39"/>
      <c r="J10" s="39"/>
      <c r="K10" s="39"/>
      <c r="L10" s="39"/>
      <c r="M10" s="39"/>
    </row>
    <row r="12" spans="1:29" s="18" customFormat="1" ht="15.75">
      <c r="A12" s="18" t="s">
        <v>57</v>
      </c>
      <c r="B12" s="19">
        <f>'Monthly Cash Flow'!B4</f>
        <v>38718</v>
      </c>
      <c r="C12" s="19">
        <f>'Monthly Cash Flow'!C4</f>
        <v>38749</v>
      </c>
      <c r="D12" s="19">
        <f>'Monthly Cash Flow'!D4</f>
        <v>38778</v>
      </c>
      <c r="E12" s="19">
        <f>'Monthly Cash Flow'!E4</f>
        <v>38809</v>
      </c>
      <c r="F12" s="19">
        <f>'Monthly Cash Flow'!F4</f>
        <v>38839</v>
      </c>
      <c r="G12" s="19">
        <f>'Monthly Cash Flow'!G4</f>
        <v>38870</v>
      </c>
      <c r="H12" s="19">
        <f>'Monthly Cash Flow'!H4</f>
        <v>38900</v>
      </c>
      <c r="I12" s="19">
        <f>'Monthly Cash Flow'!I4</f>
        <v>38931</v>
      </c>
      <c r="J12" s="19">
        <f>'Monthly Cash Flow'!J4</f>
        <v>38962</v>
      </c>
      <c r="K12" s="19">
        <f>'Monthly Cash Flow'!K4</f>
        <v>38992</v>
      </c>
      <c r="L12" s="19">
        <f>'Monthly Cash Flow'!L4</f>
        <v>39023</v>
      </c>
      <c r="M12" s="19">
        <f>'Monthly Cash Flow'!M4</f>
        <v>39053</v>
      </c>
      <c r="N12" s="20" t="str">
        <f>'Monthly Cash Flow'!N4</f>
        <v>Year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ht="15.75">
      <c r="A13" s="2" t="s">
        <v>58</v>
      </c>
    </row>
    <row r="14" spans="1:14" ht="15.75">
      <c r="A14" s="2" t="s">
        <v>59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0">
        <f>+I4</f>
        <v>400</v>
      </c>
      <c r="J14" s="80">
        <f aca="true" t="shared" si="3" ref="J14:M15">+I14+J4</f>
        <v>800</v>
      </c>
      <c r="K14" s="80">
        <f t="shared" si="3"/>
        <v>1400</v>
      </c>
      <c r="L14" s="80">
        <f t="shared" si="3"/>
        <v>1800</v>
      </c>
      <c r="M14" s="80">
        <f t="shared" si="3"/>
        <v>2200</v>
      </c>
      <c r="N14" s="21">
        <f>AVERAGE(B14:M14)</f>
        <v>550</v>
      </c>
    </row>
    <row r="15" spans="1:14" ht="15.75">
      <c r="A15" s="2" t="s">
        <v>60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2">
        <f>H5</f>
        <v>400</v>
      </c>
      <c r="I15" s="80">
        <f>+H15+I5</f>
        <v>800</v>
      </c>
      <c r="J15" s="80">
        <f t="shared" si="3"/>
        <v>1400</v>
      </c>
      <c r="K15" s="80">
        <f t="shared" si="3"/>
        <v>2000</v>
      </c>
      <c r="L15" s="80">
        <f t="shared" si="3"/>
        <v>2400</v>
      </c>
      <c r="M15" s="80">
        <f t="shared" si="3"/>
        <v>2800</v>
      </c>
      <c r="N15" s="21">
        <f>AVERAGE(B15:M15)</f>
        <v>816.6666666666666</v>
      </c>
    </row>
    <row r="16" spans="1:14" ht="15.75">
      <c r="A16" s="2" t="s">
        <v>12</v>
      </c>
      <c r="B16" s="2">
        <f>B14+B15</f>
        <v>0</v>
      </c>
      <c r="C16" s="2">
        <f aca="true" t="shared" si="4" ref="C16:N16">C14+C15</f>
        <v>0</v>
      </c>
      <c r="D16" s="2">
        <f t="shared" si="4"/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4"/>
        <v>400</v>
      </c>
      <c r="I16" s="2">
        <f t="shared" si="4"/>
        <v>1200</v>
      </c>
      <c r="J16" s="2">
        <f t="shared" si="4"/>
        <v>2200</v>
      </c>
      <c r="K16" s="2">
        <f t="shared" si="4"/>
        <v>3400</v>
      </c>
      <c r="L16" s="2">
        <f t="shared" si="4"/>
        <v>4200</v>
      </c>
      <c r="M16" s="2">
        <f t="shared" si="4"/>
        <v>5000</v>
      </c>
      <c r="N16" s="22">
        <f t="shared" si="4"/>
        <v>1366.6666666666665</v>
      </c>
    </row>
    <row r="17" spans="1:14" ht="15.75">
      <c r="A17" s="2" t="s">
        <v>61</v>
      </c>
      <c r="B17" s="23">
        <f>B16/Inputs!$G$11</f>
        <v>0</v>
      </c>
      <c r="C17" s="23">
        <f>C16/Inputs!$G$11</f>
        <v>0</v>
      </c>
      <c r="D17" s="23">
        <f>D16/Inputs!$G$11</f>
        <v>0</v>
      </c>
      <c r="E17" s="23">
        <f>E16/Inputs!$G$11</f>
        <v>0</v>
      </c>
      <c r="F17" s="23">
        <f>F16/Inputs!$G$11</f>
        <v>0</v>
      </c>
      <c r="G17" s="23">
        <f>G16/Inputs!$G$11</f>
        <v>0</v>
      </c>
      <c r="H17" s="23">
        <f>H16/Inputs!$G$11</f>
        <v>0.07142857142857142</v>
      </c>
      <c r="I17" s="23">
        <f>I16/Inputs!$G$11</f>
        <v>0.21428571428571427</v>
      </c>
      <c r="J17" s="23">
        <f>J16/Inputs!$G$11</f>
        <v>0.39285714285714285</v>
      </c>
      <c r="K17" s="23">
        <f>K16/Inputs!$G$11</f>
        <v>0.6071428571428571</v>
      </c>
      <c r="L17" s="23">
        <f>L16/Inputs!$G$11</f>
        <v>0.75</v>
      </c>
      <c r="M17" s="23">
        <f>M16/Inputs!$G$11</f>
        <v>0.8928571428571429</v>
      </c>
      <c r="N17" s="23">
        <f>(N14+N15)/Inputs!$G$11</f>
        <v>0.244047619047619</v>
      </c>
    </row>
    <row r="19" ht="15.75">
      <c r="A19" s="18" t="s">
        <v>62</v>
      </c>
    </row>
    <row r="20" spans="1:14" ht="15.75">
      <c r="A20" s="4" t="s">
        <v>63</v>
      </c>
      <c r="B20" s="21">
        <f>(B$14*'Diets and Performance'!$C$21/'Diets and Performance'!$C$9+B$15*'Diets and Performance'!$D$21/'Diets and Performance'!$D$9)*31</f>
        <v>0</v>
      </c>
      <c r="C20" s="21">
        <f>(C$14*'Diets and Performance'!$C$21/'Diets and Performance'!$C$9+C$15*'Diets and Performance'!$D$21/'Diets and Performance'!$D$9)*31</f>
        <v>0</v>
      </c>
      <c r="D20" s="21">
        <f>(D$14*'Diets and Performance'!$C$21/'Diets and Performance'!$C$9+D$15*'Diets and Performance'!$D$21/'Diets and Performance'!$D$9)*31</f>
        <v>0</v>
      </c>
      <c r="E20" s="21">
        <f>(E$14*'Diets and Performance'!$C$21/'Diets and Performance'!$C$9+E$15*'Diets and Performance'!$D$21/'Diets and Performance'!$D$9)*31</f>
        <v>0</v>
      </c>
      <c r="F20" s="21">
        <f>(F$14*'Diets and Performance'!$C$21/'Diets and Performance'!$C$9+F$15*'Diets and Performance'!$D$21/'Diets and Performance'!$D$9)*31</f>
        <v>0</v>
      </c>
      <c r="G20" s="21">
        <f>(G$14*'Diets and Performance'!$C$21/'Diets and Performance'!$C$9+G$15*'Diets and Performance'!$D$21/'Diets and Performance'!$D$9)*31</f>
        <v>0</v>
      </c>
      <c r="H20" s="21">
        <f>(H$14*'Diets and Performance'!$C$21/'Diets and Performance'!$C$9+H$15*'Diets and Performance'!$D$21/'Diets and Performance'!$D$9)*31</f>
        <v>2597.8731720779224</v>
      </c>
      <c r="I20" s="21">
        <f>(I$14*'Diets and Performance'!$C$21/'Diets and Performance'!$C$9+I$15*'Diets and Performance'!$D$21/'Diets and Performance'!$D$9)*31</f>
        <v>7427.56615036526</v>
      </c>
      <c r="J20" s="21">
        <f>(J$14*'Diets and Performance'!$C$21/'Diets and Performance'!$C$9+J$15*'Diets and Performance'!$D$21/'Diets and Performance'!$D$9)*31</f>
        <v>13556.19571469156</v>
      </c>
      <c r="K20" s="21">
        <f>(K$14*'Diets and Performance'!$C$21/'Diets and Performance'!$C$9+K$15*'Diets and Performance'!$D$21/'Diets and Performance'!$D$9)*31</f>
        <v>20800.735182122567</v>
      </c>
      <c r="L20" s="21">
        <f>(L$14*'Diets and Performance'!$C$21/'Diets and Performance'!$C$9+L$15*'Diets and Performance'!$D$21/'Diets and Performance'!$D$9)*31</f>
        <v>25630.428160409905</v>
      </c>
      <c r="M20" s="21">
        <f>(M$14*'Diets and Performance'!$C$21/'Diets and Performance'!$C$9+M$15*'Diets and Performance'!$D$21/'Diets and Performance'!$D$9)*31</f>
        <v>30460.12113869724</v>
      </c>
      <c r="N20" s="21">
        <f aca="true" t="shared" si="5" ref="N20:N26">SUM(B20:M20)</f>
        <v>100472.91951836446</v>
      </c>
    </row>
    <row r="21" spans="1:14" ht="15.75">
      <c r="A21" s="4" t="s">
        <v>307</v>
      </c>
      <c r="B21" s="21">
        <f>(B$14*'Diets and Performance'!$C$22/'Diets and Performance'!$C$9+B$15*'Diets and Performance'!$D$22/'Diets and Performance'!$D$9)*31</f>
        <v>0</v>
      </c>
      <c r="C21" s="21">
        <f>(C$14*'Diets and Performance'!$C$22/'Diets and Performance'!$C$9+C$15*'Diets and Performance'!$D$22/'Diets and Performance'!$D$9)*31</f>
        <v>0</v>
      </c>
      <c r="D21" s="21">
        <f>(D$14*'Diets and Performance'!$C$22/'Diets and Performance'!$C$9+D$15*'Diets and Performance'!$D$22/'Diets and Performance'!$D$9)*31</f>
        <v>0</v>
      </c>
      <c r="E21" s="21">
        <f>(E$14*'Diets and Performance'!$C$22/'Diets and Performance'!$C$9+E$15*'Diets and Performance'!$D$22/'Diets and Performance'!$D$9)*31</f>
        <v>0</v>
      </c>
      <c r="F21" s="21">
        <f>(F$14*'Diets and Performance'!$C$22/'Diets and Performance'!$C$9+F$15*'Diets and Performance'!$D$22/'Diets and Performance'!$D$9)*31</f>
        <v>0</v>
      </c>
      <c r="G21" s="21">
        <f>(G$14*'Diets and Performance'!$C$22/'Diets and Performance'!$C$9+G$15*'Diets and Performance'!$D$22/'Diets and Performance'!$D$9)*31</f>
        <v>0</v>
      </c>
      <c r="H21" s="21">
        <f>(H$14*'Diets and Performance'!$C$22/'Diets and Performance'!$C$9+H$15*'Diets and Performance'!$D$22/'Diets and Performance'!$D$9)*31</f>
        <v>138.38400000000001</v>
      </c>
      <c r="I21" s="21">
        <f>(I$14*'Diets and Performance'!$C$22/'Diets and Performance'!$C$9+I$15*'Diets and Performance'!$D$22/'Diets and Performance'!$D$9)*31</f>
        <v>395.6530000000001</v>
      </c>
      <c r="J21" s="21">
        <f>(J$14*'Diets and Performance'!$C$22/'Diets and Performance'!$C$9+J$15*'Diets and Performance'!$D$22/'Diets and Performance'!$D$9)*31</f>
        <v>722.114</v>
      </c>
      <c r="K21" s="21">
        <f>(K$14*'Diets and Performance'!$C$22/'Diets and Performance'!$C$9+K$15*'Diets and Performance'!$D$22/'Diets and Performance'!$D$9)*31</f>
        <v>1108.0175</v>
      </c>
      <c r="L21" s="21">
        <f>(L$14*'Diets and Performance'!$C$22/'Diets and Performance'!$C$9+L$15*'Diets and Performance'!$D$22/'Diets and Performance'!$D$9)*31</f>
        <v>1365.2865</v>
      </c>
      <c r="M21" s="21">
        <f>(M$14*'Diets and Performance'!$C$22/'Diets and Performance'!$C$9+M$15*'Diets and Performance'!$D$22/'Diets and Performance'!$D$9)*31</f>
        <v>1622.5555000000002</v>
      </c>
      <c r="N21" s="21">
        <f t="shared" si="5"/>
        <v>5352.0105</v>
      </c>
    </row>
    <row r="22" spans="1:14" ht="15.75">
      <c r="A22" s="4" t="s">
        <v>64</v>
      </c>
      <c r="B22" s="21">
        <f>(B$14*'Diets and Performance'!$C$23/'Diets and Performance'!$C$9+B$15*'Diets and Performance'!$D$23/'Diets and Performance'!$D$9)*31</f>
        <v>0</v>
      </c>
      <c r="C22" s="21">
        <f>(C$14*'Diets and Performance'!$C$23/'Diets and Performance'!$C$9+C$15*'Diets and Performance'!$D$23/'Diets and Performance'!$D$9)*31</f>
        <v>0</v>
      </c>
      <c r="D22" s="21">
        <f>(D$14*'Diets and Performance'!$C$23/'Diets and Performance'!$C$9+D$15*'Diets and Performance'!$D$23/'Diets and Performance'!$D$9)*31</f>
        <v>0</v>
      </c>
      <c r="E22" s="21">
        <f>(E$14*'Diets and Performance'!$C$23/'Diets and Performance'!$C$9+E$15*'Diets and Performance'!$D$23/'Diets and Performance'!$D$9)*31</f>
        <v>0</v>
      </c>
      <c r="F22" s="21">
        <f>(F$14*'Diets and Performance'!$C$23/'Diets and Performance'!$C$9+F$15*'Diets and Performance'!$D$23/'Diets and Performance'!$D$9)*31</f>
        <v>0</v>
      </c>
      <c r="G22" s="21">
        <f>(G$14*'Diets and Performance'!$C$23/'Diets and Performance'!$C$9+G$15*'Diets and Performance'!$D$23/'Diets and Performance'!$D$9)*31</f>
        <v>0</v>
      </c>
      <c r="H22" s="21">
        <f>(H$14*'Diets and Performance'!$C$23/'Diets and Performance'!$C$9+H$15*'Diets and Performance'!$D$23/'Diets and Performance'!$D$9)*31</f>
        <v>6.082813186813188</v>
      </c>
      <c r="I22" s="21">
        <f>(I$14*'Diets and Performance'!$C$23/'Diets and Performance'!$C$9+I$15*'Diets and Performance'!$D$23/'Diets and Performance'!$D$9)*31</f>
        <v>17.391340659340663</v>
      </c>
      <c r="J22" s="21">
        <f>(J$14*'Diets and Performance'!$C$23/'Diets and Performance'!$C$9+J$15*'Diets and Performance'!$D$23/'Diets and Performance'!$D$9)*31</f>
        <v>31.741274725274728</v>
      </c>
      <c r="K22" s="21">
        <f>(K$14*'Diets and Performance'!$C$23/'Diets and Performance'!$C$9+K$15*'Diets and Performance'!$D$23/'Diets and Performance'!$D$9)*31</f>
        <v>48.704065934065945</v>
      </c>
      <c r="L22" s="21">
        <f>(L$14*'Diets and Performance'!$C$23/'Diets and Performance'!$C$9+L$15*'Diets and Performance'!$D$23/'Diets and Performance'!$D$9)*31</f>
        <v>60.01259340659341</v>
      </c>
      <c r="M22" s="21">
        <f>(M$14*'Diets and Performance'!$C$23/'Diets and Performance'!$C$9+M$15*'Diets and Performance'!$D$23/'Diets and Performance'!$D$9)*31</f>
        <v>71.32112087912088</v>
      </c>
      <c r="N22" s="21">
        <f t="shared" si="5"/>
        <v>235.2532087912088</v>
      </c>
    </row>
    <row r="23" spans="1:14" ht="15.75">
      <c r="A23" s="4" t="s">
        <v>306</v>
      </c>
      <c r="B23" s="21">
        <f>(B$14*'Diets and Performance'!$C$24/'Diets and Performance'!$C$9+B$15*'Diets and Performance'!$D$24/'Diets and Performance'!$D$9)*31</f>
        <v>0</v>
      </c>
      <c r="C23" s="21">
        <f>(C$14*'Diets and Performance'!$C$24/'Diets and Performance'!$C$9+C$15*'Diets and Performance'!$D$24/'Diets and Performance'!$D$9)*31</f>
        <v>0</v>
      </c>
      <c r="D23" s="21">
        <f>(D$14*'Diets and Performance'!$C$24/'Diets and Performance'!$C$9+D$15*'Diets and Performance'!$D$24/'Diets and Performance'!$D$9)*31</f>
        <v>0</v>
      </c>
      <c r="E23" s="21">
        <f>(E$14*'Diets and Performance'!$C$24/'Diets and Performance'!$C$9+E$15*'Diets and Performance'!$D$24/'Diets and Performance'!$D$9)*31</f>
        <v>0</v>
      </c>
      <c r="F23" s="21">
        <f>(F$14*'Diets and Performance'!$C$24/'Diets and Performance'!$C$9+F$15*'Diets and Performance'!$D$24/'Diets and Performance'!$D$9)*31</f>
        <v>0</v>
      </c>
      <c r="G23" s="21">
        <f>(G$14*'Diets and Performance'!$C$24/'Diets and Performance'!$C$9+G$15*'Diets and Performance'!$D$24/'Diets and Performance'!$D$9)*31</f>
        <v>0</v>
      </c>
      <c r="H23" s="21">
        <f>(H$14*'Diets and Performance'!$C$24/'Diets and Performance'!$C$9+H$15*'Diets and Performance'!$D$24/'Diets and Performance'!$D$9)*31</f>
        <v>29.133473684210532</v>
      </c>
      <c r="I23" s="21">
        <f>(I$14*'Diets and Performance'!$C$24/'Diets and Performance'!$C$9+I$15*'Diets and Performance'!$D$24/'Diets and Performance'!$D$9)*31</f>
        <v>83.29536842105264</v>
      </c>
      <c r="J23" s="21">
        <f>(J$14*'Diets and Performance'!$C$24/'Diets and Performance'!$C$9+J$15*'Diets and Performance'!$D$24/'Diets and Performance'!$D$9)*31</f>
        <v>152.024</v>
      </c>
      <c r="K23" s="21">
        <f>(K$14*'Diets and Performance'!$C$24/'Diets and Performance'!$C$9+K$15*'Diets and Performance'!$D$24/'Diets and Performance'!$D$9)*31</f>
        <v>233.26684210526318</v>
      </c>
      <c r="L23" s="21">
        <f>(L$14*'Diets and Performance'!$C$24/'Diets and Performance'!$C$9+L$15*'Diets and Performance'!$D$24/'Diets and Performance'!$D$9)*31</f>
        <v>287.4287368421053</v>
      </c>
      <c r="M23" s="21">
        <f>(M$14*'Diets and Performance'!$C$24/'Diets and Performance'!$C$9+M$15*'Diets and Performance'!$D$24/'Diets and Performance'!$D$9)*31</f>
        <v>341.59063157894735</v>
      </c>
      <c r="N23" s="21">
        <f t="shared" si="5"/>
        <v>1126.739052631579</v>
      </c>
    </row>
    <row r="24" spans="1:14" ht="15.75">
      <c r="A24" s="4" t="s">
        <v>65</v>
      </c>
      <c r="B24" s="21">
        <f>(B$14*'Diets and Performance'!$C$25/'Diets and Performance'!$C$9+B$15*'Diets and Performance'!$D$25/'Diets and Performance'!$D$9)*31</f>
        <v>0</v>
      </c>
      <c r="C24" s="21">
        <f>(C$14*'Diets and Performance'!$C$25/'Diets and Performance'!$C$9+C$15*'Diets and Performance'!$D$25/'Diets and Performance'!$D$9)*31</f>
        <v>0</v>
      </c>
      <c r="D24" s="21">
        <f>(D$14*'Diets and Performance'!$C$25/'Diets and Performance'!$C$9+D$15*'Diets and Performance'!$D$25/'Diets and Performance'!$D$9)*31</f>
        <v>0</v>
      </c>
      <c r="E24" s="21">
        <f>(E$14*'Diets and Performance'!$C$25/'Diets and Performance'!$C$9+E$15*'Diets and Performance'!$D$25/'Diets and Performance'!$D$9)*31</f>
        <v>0</v>
      </c>
      <c r="F24" s="21">
        <f>(F$14*'Diets and Performance'!$C$25/'Diets and Performance'!$C$9+F$15*'Diets and Performance'!$D$25/'Diets and Performance'!$D$9)*31</f>
        <v>0</v>
      </c>
      <c r="G24" s="21">
        <f>(G$14*'Diets and Performance'!$C$25/'Diets and Performance'!$C$9+G$15*'Diets and Performance'!$D$25/'Diets and Performance'!$D$9)*31</f>
        <v>0</v>
      </c>
      <c r="H24" s="21">
        <f>(H$14*'Diets and Performance'!$C$25/'Diets and Performance'!$C$9+H$15*'Diets and Performance'!$D$25/'Diets and Performance'!$D$9)*31</f>
        <v>0</v>
      </c>
      <c r="I24" s="21">
        <f>(I$14*'Diets and Performance'!$C$25/'Diets and Performance'!$C$9+I$15*'Diets and Performance'!$D$25/'Diets and Performance'!$D$9)*31</f>
        <v>0</v>
      </c>
      <c r="J24" s="21">
        <f>(J$14*'Diets and Performance'!$C$25/'Diets and Performance'!$C$9+J$15*'Diets and Performance'!$D$25/'Diets and Performance'!$D$9)*31</f>
        <v>0</v>
      </c>
      <c r="K24" s="21">
        <f>(K$14*'Diets and Performance'!$C$25/'Diets and Performance'!$C$9+K$15*'Diets and Performance'!$D$25/'Diets and Performance'!$D$9)*31</f>
        <v>0</v>
      </c>
      <c r="L24" s="21">
        <f>(L$14*'Diets and Performance'!$C$25/'Diets and Performance'!$C$9+L$15*'Diets and Performance'!$D$25/'Diets and Performance'!$D$9)*31</f>
        <v>0</v>
      </c>
      <c r="M24" s="21">
        <f>(M$14*'Diets and Performance'!$C$25/'Diets and Performance'!$C$9+M$15*'Diets and Performance'!$D$25/'Diets and Performance'!$D$9)*31</f>
        <v>0</v>
      </c>
      <c r="N24" s="21">
        <f t="shared" si="5"/>
        <v>0</v>
      </c>
    </row>
    <row r="25" spans="1:14" ht="15.75">
      <c r="A25" s="4" t="s">
        <v>66</v>
      </c>
      <c r="B25" s="21">
        <f>(B$14*'Diets and Performance'!$C$26/'Diets and Performance'!$C$9+B$15*'Diets and Performance'!$D$26/'Diets and Performance'!$D$9)*31</f>
        <v>0</v>
      </c>
      <c r="C25" s="21">
        <f>(C$14*'Diets and Performance'!$C$26/'Diets and Performance'!$C$9+C$15*'Diets and Performance'!$D$26/'Diets and Performance'!$D$9)*31</f>
        <v>0</v>
      </c>
      <c r="D25" s="21">
        <f>(D$14*'Diets and Performance'!$C$26/'Diets and Performance'!$C$9+D$15*'Diets and Performance'!$D$26/'Diets and Performance'!$D$9)*31</f>
        <v>0</v>
      </c>
      <c r="E25" s="21">
        <f>(E$14*'Diets and Performance'!$C$26/'Diets and Performance'!$C$9+E$15*'Diets and Performance'!$D$26/'Diets and Performance'!$D$9)*31</f>
        <v>0</v>
      </c>
      <c r="F25" s="21">
        <f>(F$14*'Diets and Performance'!$C$26/'Diets and Performance'!$C$9+F$15*'Diets and Performance'!$D$26/'Diets and Performance'!$D$9)*31</f>
        <v>0</v>
      </c>
      <c r="G25" s="21">
        <f>(G$14*'Diets and Performance'!$C$26/'Diets and Performance'!$C$9+G$15*'Diets and Performance'!$D$26/'Diets and Performance'!$D$9)*31</f>
        <v>0</v>
      </c>
      <c r="H25" s="21">
        <f>(H$14*'Diets and Performance'!$C$26/'Diets and Performance'!$C$9+H$15*'Diets and Performance'!$D$26/'Diets and Performance'!$D$9)*31</f>
        <v>0</v>
      </c>
      <c r="I25" s="21">
        <f>(I$14*'Diets and Performance'!$C$26/'Diets and Performance'!$C$9+I$15*'Diets and Performance'!$D$26/'Diets and Performance'!$D$9)*31</f>
        <v>0</v>
      </c>
      <c r="J25" s="21">
        <f>(J$14*'Diets and Performance'!$C$26/'Diets and Performance'!$C$9+J$15*'Diets and Performance'!$D$26/'Diets and Performance'!$D$9)*31</f>
        <v>0</v>
      </c>
      <c r="K25" s="21">
        <f>(K$14*'Diets and Performance'!$C$26/'Diets and Performance'!$C$9+K$15*'Diets and Performance'!$D$26/'Diets and Performance'!$D$9)*31</f>
        <v>0</v>
      </c>
      <c r="L25" s="21">
        <f>(L$14*'Diets and Performance'!$C$26/'Diets and Performance'!$C$9+L$15*'Diets and Performance'!$D$26/'Diets and Performance'!$D$9)*31</f>
        <v>0</v>
      </c>
      <c r="M25" s="21">
        <f>(M$14*'Diets and Performance'!$C$26/'Diets and Performance'!$C$9+M$15*'Diets and Performance'!$D$26/'Diets and Performance'!$D$9)*31</f>
        <v>0</v>
      </c>
      <c r="N25" s="21">
        <f t="shared" si="5"/>
        <v>0</v>
      </c>
    </row>
    <row r="26" spans="1:14" ht="15.75">
      <c r="A26" s="4" t="s">
        <v>309</v>
      </c>
      <c r="B26" s="21">
        <f>(B$14*'Diets and Performance'!$C$27/'Diets and Performance'!$C$9+B$15*'Diets and Performance'!$D$27/'Diets and Performance'!$D$9)*31</f>
        <v>0</v>
      </c>
      <c r="C26" s="21">
        <f>(C$14*'Diets and Performance'!$C$27/'Diets and Performance'!$C$9+C$15*'Diets and Performance'!$D$27/'Diets and Performance'!$D$9)*31</f>
        <v>0</v>
      </c>
      <c r="D26" s="21">
        <f>(D$14*'Diets and Performance'!$C$27/'Diets and Performance'!$C$9+D$15*'Diets and Performance'!$D$27/'Diets and Performance'!$D$9)*31</f>
        <v>0</v>
      </c>
      <c r="E26" s="21">
        <f>(E$14*'Diets and Performance'!$C$27/'Diets and Performance'!$C$9+E$15*'Diets and Performance'!$D$27/'Diets and Performance'!$D$9)*31</f>
        <v>0</v>
      </c>
      <c r="F26" s="21">
        <f>(F$14*'Diets and Performance'!$C$27/'Diets and Performance'!$C$9+F$15*'Diets and Performance'!$D$27/'Diets and Performance'!$D$9)*31</f>
        <v>0</v>
      </c>
      <c r="G26" s="21">
        <f>(G$14*'Diets and Performance'!$C$27/'Diets and Performance'!$C$9+G$15*'Diets and Performance'!$D$27/'Diets and Performance'!$D$9)*31</f>
        <v>0</v>
      </c>
      <c r="H26" s="21">
        <f>(H$14*'Diets and Performance'!$C$27/'Diets and Performance'!$C$9+H$15*'Diets and Performance'!$D$27/'Diets and Performance'!$D$9)*31</f>
        <v>48.25450080000001</v>
      </c>
      <c r="I26" s="21">
        <f>(I$14*'Diets and Performance'!$C$27/'Diets and Performance'!$C$9+I$15*'Diets and Performance'!$D$27/'Diets and Performance'!$D$9)*31</f>
        <v>137.96420110000003</v>
      </c>
      <c r="J26" s="21">
        <f>(J$14*'Diets and Performance'!$C$27/'Diets and Performance'!$C$9+J$15*'Diets and Performance'!$D$27/'Diets and Performance'!$D$9)*31</f>
        <v>251.80115180000007</v>
      </c>
      <c r="K26" s="21">
        <f>(K$14*'Diets and Performance'!$C$27/'Diets and Performance'!$C$9+K$15*'Diets and Performance'!$D$27/'Diets and Performance'!$D$9)*31</f>
        <v>386.3657022500001</v>
      </c>
      <c r="L26" s="21">
        <f>(L$14*'Diets and Performance'!$C$27/'Diets and Performance'!$C$9+L$15*'Diets and Performance'!$D$27/'Diets and Performance'!$D$9)*31</f>
        <v>476.07540255000004</v>
      </c>
      <c r="M26" s="21">
        <f>(M$14*'Diets and Performance'!$C$27/'Diets and Performance'!$C$9+M$15*'Diets and Performance'!$D$27/'Diets and Performance'!$D$9)*31</f>
        <v>565.78510285</v>
      </c>
      <c r="N26" s="21">
        <f t="shared" si="5"/>
        <v>1866.2460613500002</v>
      </c>
    </row>
    <row r="28" ht="15.75">
      <c r="A28" s="18" t="s">
        <v>67</v>
      </c>
    </row>
    <row r="29" spans="1:14" ht="15.75">
      <c r="A29" s="4" t="str">
        <f>A20</f>
        <v>  Corn (bu)</v>
      </c>
      <c r="B29" s="21">
        <f>(B20*'Prices and Spreads'!$D$5*'Prices and Spreads'!C$34)</f>
        <v>0</v>
      </c>
      <c r="C29" s="21">
        <f>(C20*'Prices and Spreads'!$D$5*'Prices and Spreads'!D$34)</f>
        <v>0</v>
      </c>
      <c r="D29" s="21">
        <f>(D20*'Prices and Spreads'!$D$5*'Prices and Spreads'!E$34)</f>
        <v>0</v>
      </c>
      <c r="E29" s="21">
        <f>(E20*'Prices and Spreads'!$D$5*'Prices and Spreads'!F$34)</f>
        <v>0</v>
      </c>
      <c r="F29" s="21">
        <f>(F20*'Prices and Spreads'!$D$5*'Prices and Spreads'!G$34)</f>
        <v>0</v>
      </c>
      <c r="G29" s="21">
        <f>(G20*'Prices and Spreads'!$D$5*'Prices and Spreads'!H$34)</f>
        <v>0</v>
      </c>
      <c r="H29" s="21">
        <f>(H20*'Prices and Spreads'!$D$5*'Prices and Spreads'!I$34)</f>
        <v>9001.63054125</v>
      </c>
      <c r="I29" s="21">
        <f>(I20*'Prices and Spreads'!$D$5*'Prices and Spreads'!J$34)</f>
        <v>26906.358379698155</v>
      </c>
      <c r="J29" s="21">
        <f>(J20*'Prices and Spreads'!$D$5*'Prices and Spreads'!K$34)</f>
        <v>40139.89551120171</v>
      </c>
      <c r="K29" s="21">
        <f>(K20*'Prices and Spreads'!$D$5*'Prices and Spreads'!L$33)</f>
        <v>60280.5305577912</v>
      </c>
      <c r="L29" s="21">
        <f>(L20*'Prices and Spreads'!$D$5*'Prices and Spreads'!M$33)</f>
        <v>72662.26383476208</v>
      </c>
      <c r="M29" s="21">
        <f>(M20*'Prices and Spreads'!$D$5*'Prices and Spreads'!N$33)</f>
        <v>88273.4310599446</v>
      </c>
      <c r="N29" s="21">
        <f aca="true" t="shared" si="6" ref="N29:N36">SUM(B29:M29)</f>
        <v>297264.10988464777</v>
      </c>
    </row>
    <row r="30" spans="1:14" ht="15.75">
      <c r="A30" s="4" t="str">
        <f aca="true" t="shared" si="7" ref="A30:A35">A21</f>
        <v>  WDGS (T)</v>
      </c>
      <c r="B30" s="21">
        <f>(B21*'Prices and Spreads'!$D$6*'Prices and Spreads'!C$35)</f>
        <v>0</v>
      </c>
      <c r="C30" s="21">
        <f>(C21*'Prices and Spreads'!$D$6*'Prices and Spreads'!D$35)</f>
        <v>0</v>
      </c>
      <c r="D30" s="21">
        <f>(D21*'Prices and Spreads'!$D$6*'Prices and Spreads'!E$35)</f>
        <v>0</v>
      </c>
      <c r="E30" s="21">
        <f>(E21*'Prices and Spreads'!$D$6*'Prices and Spreads'!F$35)</f>
        <v>0</v>
      </c>
      <c r="F30" s="21">
        <f>(F21*'Prices and Spreads'!$D$6*'Prices and Spreads'!G$35)</f>
        <v>0</v>
      </c>
      <c r="G30" s="21">
        <f>(G21*'Prices and Spreads'!$D$6*'Prices and Spreads'!H$35)</f>
        <v>0</v>
      </c>
      <c r="H30" s="21">
        <f>(H21*'Prices and Spreads'!$D$6*'Prices and Spreads'!I$35)</f>
        <v>6165.007200000001</v>
      </c>
      <c r="I30" s="21">
        <f>(I21*'Prices and Spreads'!$D$6*'Prices and Spreads'!J$35)</f>
        <v>18427.538475</v>
      </c>
      <c r="J30" s="21">
        <f>(J21*'Prices and Spreads'!$D$6*'Prices and Spreads'!K$35)</f>
        <v>27490.87998</v>
      </c>
      <c r="K30" s="21">
        <f>(K21*'Prices and Spreads'!$D$6*'Prices and Spreads'!L$34)</f>
        <v>41284.73205</v>
      </c>
      <c r="L30" s="21">
        <f>(L21*'Prices and Spreads'!$D$6*'Prices and Spreads'!M$34)</f>
        <v>49764.692925</v>
      </c>
      <c r="M30" s="21">
        <f>(M21*'Prices and Spreads'!$D$6*'Prices and Spreads'!N$34)</f>
        <v>60456.41793000001</v>
      </c>
      <c r="N30" s="21">
        <f t="shared" si="6"/>
        <v>203589.26856</v>
      </c>
    </row>
    <row r="31" spans="1:14" ht="15.75">
      <c r="A31" s="4" t="str">
        <f t="shared" si="7"/>
        <v>  Mixed hay (ton)</v>
      </c>
      <c r="B31" s="21">
        <f>(B22*'Prices and Spreads'!$D$7*'Prices and Spreads'!C$36)</f>
        <v>0</v>
      </c>
      <c r="C31" s="21">
        <f>(C22*'Prices and Spreads'!$D$7*'Prices and Spreads'!D$36)</f>
        <v>0</v>
      </c>
      <c r="D31" s="21">
        <f>(D22*'Prices and Spreads'!$D$7*'Prices and Spreads'!E$36)</f>
        <v>0</v>
      </c>
      <c r="E31" s="21">
        <f>(E22*'Prices and Spreads'!$D$7*'Prices and Spreads'!F$36)</f>
        <v>0</v>
      </c>
      <c r="F31" s="21">
        <f>(F22*'Prices and Spreads'!$D$7*'Prices and Spreads'!G$36)</f>
        <v>0</v>
      </c>
      <c r="G31" s="21">
        <f>(G22*'Prices and Spreads'!$D$7*'Prices and Spreads'!H$36)</f>
        <v>0</v>
      </c>
      <c r="H31" s="21">
        <f>(H22*'Prices and Spreads'!$D$7*'Prices and Spreads'!I$36)</f>
        <v>328.4719120879122</v>
      </c>
      <c r="I31" s="21">
        <f>(I22*'Prices and Spreads'!$D$7*'Prices and Spreads'!J$36)</f>
        <v>960.0020043956048</v>
      </c>
      <c r="J31" s="21">
        <f>(J22*'Prices and Spreads'!$D$7*'Prices and Spreads'!K$36)</f>
        <v>1866.386953846154</v>
      </c>
      <c r="K31" s="21">
        <f>(K22*'Prices and Spreads'!$D$7*'Prices and Spreads'!L$35)</f>
        <v>2922.2439560439566</v>
      </c>
      <c r="L31" s="21">
        <f>(L22*'Prices and Spreads'!$D$7*'Prices and Spreads'!M$35)</f>
        <v>3672.770716483517</v>
      </c>
      <c r="M31" s="21">
        <f>(M22*'Prices and Spreads'!$D$7*'Prices and Spreads'!N$35)</f>
        <v>4364.852597802198</v>
      </c>
      <c r="N31" s="21">
        <f t="shared" si="6"/>
        <v>14114.728140659343</v>
      </c>
    </row>
    <row r="32" spans="1:14" ht="15.75">
      <c r="A32" s="4" t="str">
        <f t="shared" si="7"/>
        <v>  Corn Silage (ton)</v>
      </c>
      <c r="B32" s="21">
        <f>(B23*'Prices and Spreads'!$D$8*'Prices and Spreads'!C$37)</f>
        <v>0</v>
      </c>
      <c r="C32" s="21">
        <f>(C23*'Prices and Spreads'!$D$8*'Prices and Spreads'!D$37)</f>
        <v>0</v>
      </c>
      <c r="D32" s="21">
        <f>(D23*'Prices and Spreads'!$D$8*'Prices and Spreads'!E$37)</f>
        <v>0</v>
      </c>
      <c r="E32" s="21">
        <f>(E23*'Prices and Spreads'!$D$8*'Prices and Spreads'!F$37)</f>
        <v>0</v>
      </c>
      <c r="F32" s="21">
        <f>(F23*'Prices and Spreads'!$D$8*'Prices and Spreads'!G$37)</f>
        <v>0</v>
      </c>
      <c r="G32" s="21">
        <f>(G23*'Prices and Spreads'!$D$8*'Prices and Spreads'!H$37)</f>
        <v>0</v>
      </c>
      <c r="H32" s="21">
        <f>(H23*'Prices and Spreads'!$D$8*'Prices and Spreads'!I$37)</f>
        <v>917.7044210526318</v>
      </c>
      <c r="I32" s="21">
        <f>(I23*'Prices and Spreads'!$D$8*'Prices and Spreads'!J$37)</f>
        <v>2623.8041052631584</v>
      </c>
      <c r="J32" s="21">
        <f>(J23*'Prices and Spreads'!$D$8*'Prices and Spreads'!K$37)</f>
        <v>4788.756</v>
      </c>
      <c r="K32" s="21">
        <f>(K23*'Prices and Spreads'!$D$8*'Prices and Spreads'!L$36)</f>
        <v>7347.90552631579</v>
      </c>
      <c r="L32" s="21">
        <f>(L23*'Prices and Spreads'!$D$8*'Prices and Spreads'!M$36)</f>
        <v>9054.005210526317</v>
      </c>
      <c r="M32" s="21">
        <f>(M23*'Prices and Spreads'!$D$8*'Prices and Spreads'!N$36)</f>
        <v>10760.104894736842</v>
      </c>
      <c r="N32" s="21">
        <f t="shared" si="6"/>
        <v>35492.28015789474</v>
      </c>
    </row>
    <row r="33" spans="1:14" ht="15.75">
      <c r="A33" s="4" t="str">
        <f t="shared" si="7"/>
        <v>  Other Feed (ton)</v>
      </c>
      <c r="B33" s="21">
        <f>(B24*'Prices and Spreads'!$D$9*'Prices and Spreads'!C$38)</f>
        <v>0</v>
      </c>
      <c r="C33" s="21">
        <f>(C24*'Prices and Spreads'!$D$9*'Prices and Spreads'!D$38)</f>
        <v>0</v>
      </c>
      <c r="D33" s="21">
        <f>(D24*'Prices and Spreads'!$D$9*'Prices and Spreads'!E$38)</f>
        <v>0</v>
      </c>
      <c r="E33" s="21">
        <f>(E24*'Prices and Spreads'!$D$9*'Prices and Spreads'!F$38)</f>
        <v>0</v>
      </c>
      <c r="F33" s="21">
        <f>(F24*'Prices and Spreads'!$D$9*'Prices and Spreads'!G$38)</f>
        <v>0</v>
      </c>
      <c r="G33" s="21">
        <f>(G24*'Prices and Spreads'!$D$9*'Prices and Spreads'!H$38)</f>
        <v>0</v>
      </c>
      <c r="H33" s="21">
        <f>(H24*'Prices and Spreads'!$D$9*'Prices and Spreads'!I$38)</f>
        <v>0</v>
      </c>
      <c r="I33" s="21">
        <f>(I24*'Prices and Spreads'!$D$9*'Prices and Spreads'!J$38)</f>
        <v>0</v>
      </c>
      <c r="J33" s="21">
        <f>(J24*'Prices and Spreads'!$D$9*'Prices and Spreads'!K$38)</f>
        <v>0</v>
      </c>
      <c r="K33" s="21">
        <f>(K24*'Prices and Spreads'!$D$9*'Prices and Spreads'!L$37)</f>
        <v>0</v>
      </c>
      <c r="L33" s="21">
        <f>(L24*'Prices and Spreads'!$D$9*'Prices and Spreads'!M$37)</f>
        <v>0</v>
      </c>
      <c r="M33" s="21">
        <f>(M24*'Prices and Spreads'!$D$9*'Prices and Spreads'!N$37)</f>
        <v>0</v>
      </c>
      <c r="N33" s="21">
        <f t="shared" si="6"/>
        <v>0</v>
      </c>
    </row>
    <row r="34" spans="1:14" ht="15.75">
      <c r="A34" s="4" t="str">
        <f t="shared" si="7"/>
        <v>  Natural Sup (cwt)</v>
      </c>
      <c r="B34" s="21">
        <f>(B25*'Prices and Spreads'!$D$10*'Prices and Spreads'!C$39)</f>
        <v>0</v>
      </c>
      <c r="C34" s="21">
        <f>(C25*'Prices and Spreads'!$D$10*'Prices and Spreads'!D$39)</f>
        <v>0</v>
      </c>
      <c r="D34" s="21">
        <f>(D25*'Prices and Spreads'!$D$10*'Prices and Spreads'!E$39)</f>
        <v>0</v>
      </c>
      <c r="E34" s="21">
        <f>(E25*'Prices and Spreads'!$D$10*'Prices and Spreads'!F$39)</f>
        <v>0</v>
      </c>
      <c r="F34" s="21">
        <f>(F25*'Prices and Spreads'!$D$10*'Prices and Spreads'!G$39)</f>
        <v>0</v>
      </c>
      <c r="G34" s="21">
        <f>(G25*'Prices and Spreads'!$D$10*'Prices and Spreads'!H$39)</f>
        <v>0</v>
      </c>
      <c r="H34" s="21">
        <f>(H25*'Prices and Spreads'!$D$10*'Prices and Spreads'!I$39)</f>
        <v>0</v>
      </c>
      <c r="I34" s="21">
        <f>(I25*'Prices and Spreads'!$D$10*'Prices and Spreads'!J$39)</f>
        <v>0</v>
      </c>
      <c r="J34" s="21">
        <f>(J25*'Prices and Spreads'!$D$10*'Prices and Spreads'!K$39)</f>
        <v>0</v>
      </c>
      <c r="K34" s="21">
        <f>(K25*'Prices and Spreads'!$D$10*'Prices and Spreads'!L$38)</f>
        <v>0</v>
      </c>
      <c r="L34" s="21">
        <f>(L25*'Prices and Spreads'!$D$10*'Prices and Spreads'!M$38)</f>
        <v>0</v>
      </c>
      <c r="M34" s="21">
        <f>(M25*'Prices and Spreads'!$D$10*'Prices and Spreads'!N$38)</f>
        <v>0</v>
      </c>
      <c r="N34" s="21">
        <f t="shared" si="6"/>
        <v>0</v>
      </c>
    </row>
    <row r="35" spans="1:14" ht="15.75">
      <c r="A35" s="4" t="str">
        <f t="shared" si="7"/>
        <v>  Vit&amp;Min Suppl (cwt)</v>
      </c>
      <c r="B35" s="21">
        <f>(B26*'Prices and Spreads'!$D$11*'Prices and Spreads'!C$40)</f>
        <v>0</v>
      </c>
      <c r="C35" s="21">
        <f>(C26*'Prices and Spreads'!$D$11*'Prices and Spreads'!D$40)</f>
        <v>0</v>
      </c>
      <c r="D35" s="21">
        <f>(D26*'Prices and Spreads'!$D$11*'Prices and Spreads'!E$40)</f>
        <v>0</v>
      </c>
      <c r="E35" s="21">
        <f>(E26*'Prices and Spreads'!$D$11*'Prices and Spreads'!F$40)</f>
        <v>0</v>
      </c>
      <c r="F35" s="21">
        <f>(F26*'Prices and Spreads'!$D$11*'Prices and Spreads'!G$40)</f>
        <v>0</v>
      </c>
      <c r="G35" s="21">
        <f>(G26*'Prices and Spreads'!$D$11*'Prices and Spreads'!H$40)</f>
        <v>0</v>
      </c>
      <c r="H35" s="21">
        <f>(H26*'Prices and Spreads'!$D$11*'Prices and Spreads'!I$40)</f>
        <v>7238.175120000002</v>
      </c>
      <c r="I35" s="21">
        <f>(I26*'Prices and Spreads'!$D$11*'Prices and Spreads'!J$40)</f>
        <v>20694.630165000002</v>
      </c>
      <c r="J35" s="21">
        <f>(J26*'Prices and Spreads'!$D$11*'Prices and Spreads'!K$40)</f>
        <v>37770.17277000001</v>
      </c>
      <c r="K35" s="21">
        <f>(K26*'Prices and Spreads'!$D$11*'Prices and Spreads'!L$39)</f>
        <v>57954.85533750001</v>
      </c>
      <c r="L35" s="21">
        <f>(L26*'Prices and Spreads'!$D$11*'Prices and Spreads'!M$39)</f>
        <v>71411.3103825</v>
      </c>
      <c r="M35" s="21">
        <f>(M26*'Prices and Spreads'!$D$11*'Prices and Spreads'!N$39)</f>
        <v>84867.76542750001</v>
      </c>
      <c r="N35" s="21">
        <f t="shared" si="6"/>
        <v>279936.9092025</v>
      </c>
    </row>
    <row r="36" spans="1:14" ht="15.75">
      <c r="A36" s="18" t="s">
        <v>12</v>
      </c>
      <c r="B36" s="21">
        <f>SUM(B29:B35)</f>
        <v>0</v>
      </c>
      <c r="C36" s="21">
        <f aca="true" t="shared" si="8" ref="C36:M36">SUM(C29:C35)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23650.989194390546</v>
      </c>
      <c r="I36" s="21">
        <f t="shared" si="8"/>
        <v>69612.33312935692</v>
      </c>
      <c r="J36" s="21">
        <f t="shared" si="8"/>
        <v>112056.09121504787</v>
      </c>
      <c r="K36" s="21">
        <f t="shared" si="8"/>
        <v>169790.26742765095</v>
      </c>
      <c r="L36" s="21">
        <f t="shared" si="8"/>
        <v>206565.0430692719</v>
      </c>
      <c r="M36" s="21">
        <f t="shared" si="8"/>
        <v>248722.57190998367</v>
      </c>
      <c r="N36" s="21">
        <f t="shared" si="6"/>
        <v>830397.2959457019</v>
      </c>
    </row>
    <row r="39" spans="1:4" ht="15.75">
      <c r="A39" s="18" t="s">
        <v>55</v>
      </c>
      <c r="D39" s="18" t="s">
        <v>69</v>
      </c>
    </row>
    <row r="41" spans="1:14" s="18" customFormat="1" ht="15.75">
      <c r="A41" s="18" t="s">
        <v>57</v>
      </c>
      <c r="B41" s="19">
        <f>'Monthly Cash Flow'!B57</f>
        <v>39084</v>
      </c>
      <c r="C41" s="19">
        <f>'Monthly Cash Flow'!C57</f>
        <v>39115</v>
      </c>
      <c r="D41" s="19">
        <f>'Monthly Cash Flow'!D57</f>
        <v>39144</v>
      </c>
      <c r="E41" s="19">
        <f>'Monthly Cash Flow'!E57</f>
        <v>39175</v>
      </c>
      <c r="F41" s="19">
        <f>'Monthly Cash Flow'!F57</f>
        <v>39205</v>
      </c>
      <c r="G41" s="19">
        <f>'Monthly Cash Flow'!G57</f>
        <v>39236</v>
      </c>
      <c r="H41" s="19">
        <f>'Monthly Cash Flow'!H57</f>
        <v>39266</v>
      </c>
      <c r="I41" s="19">
        <f>'Monthly Cash Flow'!I57</f>
        <v>39297</v>
      </c>
      <c r="J41" s="19">
        <f>'Monthly Cash Flow'!J57</f>
        <v>39328</v>
      </c>
      <c r="K41" s="19">
        <f>'Monthly Cash Flow'!K57</f>
        <v>39358</v>
      </c>
      <c r="L41" s="19">
        <f>'Monthly Cash Flow'!L57</f>
        <v>39389</v>
      </c>
      <c r="M41" s="19">
        <f>'Monthly Cash Flow'!M57</f>
        <v>39419</v>
      </c>
      <c r="N41" s="19" t="str">
        <f>'Monthly Cash Flow'!N57</f>
        <v>Year</v>
      </c>
    </row>
    <row r="42" ht="15.75">
      <c r="A42" s="2" t="s">
        <v>58</v>
      </c>
    </row>
    <row r="43" spans="1:14" ht="15.75">
      <c r="A43" s="2" t="s">
        <v>59</v>
      </c>
      <c r="B43" s="80">
        <f>M14+B4-H14</f>
        <v>2600</v>
      </c>
      <c r="C43" s="80">
        <f>B43+C$4-$I4</f>
        <v>2600</v>
      </c>
      <c r="D43" s="80">
        <f aca="true" t="shared" si="9" ref="D43:G44">C43+D4-J4</f>
        <v>2600</v>
      </c>
      <c r="E43" s="80">
        <f t="shared" si="9"/>
        <v>2400</v>
      </c>
      <c r="F43" s="80">
        <f t="shared" si="9"/>
        <v>2400</v>
      </c>
      <c r="G43" s="80">
        <f t="shared" si="9"/>
        <v>2400</v>
      </c>
      <c r="H43" s="80">
        <f aca="true" t="shared" si="10" ref="H43:M44">G43+H4-B4</f>
        <v>2400</v>
      </c>
      <c r="I43" s="80">
        <f t="shared" si="10"/>
        <v>2400</v>
      </c>
      <c r="J43" s="80">
        <f t="shared" si="10"/>
        <v>2400</v>
      </c>
      <c r="K43" s="80">
        <f t="shared" si="10"/>
        <v>2600</v>
      </c>
      <c r="L43" s="80">
        <f t="shared" si="10"/>
        <v>2600</v>
      </c>
      <c r="M43" s="80">
        <f t="shared" si="10"/>
        <v>2600</v>
      </c>
      <c r="N43" s="21">
        <f>AVERAGE(B43:M43)</f>
        <v>2500</v>
      </c>
    </row>
    <row r="44" spans="1:14" ht="15.75">
      <c r="A44" s="2" t="s">
        <v>60</v>
      </c>
      <c r="B44" s="80">
        <f>M15+B5-H15</f>
        <v>2800</v>
      </c>
      <c r="C44" s="80">
        <f>B44+C$5-I$5</f>
        <v>2800</v>
      </c>
      <c r="D44" s="80">
        <f t="shared" si="9"/>
        <v>2600</v>
      </c>
      <c r="E44" s="80">
        <f t="shared" si="9"/>
        <v>2400</v>
      </c>
      <c r="F44" s="80">
        <f t="shared" si="9"/>
        <v>2400</v>
      </c>
      <c r="G44" s="80">
        <f t="shared" si="9"/>
        <v>2400</v>
      </c>
      <c r="H44" s="80">
        <f t="shared" si="10"/>
        <v>2400</v>
      </c>
      <c r="I44" s="80">
        <f t="shared" si="10"/>
        <v>2400</v>
      </c>
      <c r="J44" s="80">
        <f t="shared" si="10"/>
        <v>2600</v>
      </c>
      <c r="K44" s="80">
        <f t="shared" si="10"/>
        <v>2800</v>
      </c>
      <c r="L44" s="80">
        <f t="shared" si="10"/>
        <v>2800</v>
      </c>
      <c r="M44" s="80">
        <f t="shared" si="10"/>
        <v>2800</v>
      </c>
      <c r="N44" s="21">
        <f>AVERAGE(B44:M44)</f>
        <v>2600</v>
      </c>
    </row>
    <row r="45" spans="1:14" ht="15.75">
      <c r="A45" s="2" t="s">
        <v>12</v>
      </c>
      <c r="B45" s="2">
        <f aca="true" t="shared" si="11" ref="B45:N45">B43+B44</f>
        <v>5400</v>
      </c>
      <c r="C45" s="2">
        <f t="shared" si="11"/>
        <v>5400</v>
      </c>
      <c r="D45" s="2">
        <f t="shared" si="11"/>
        <v>5200</v>
      </c>
      <c r="E45" s="2">
        <f t="shared" si="11"/>
        <v>4800</v>
      </c>
      <c r="F45" s="2">
        <f t="shared" si="11"/>
        <v>4800</v>
      </c>
      <c r="G45" s="2">
        <f t="shared" si="11"/>
        <v>4800</v>
      </c>
      <c r="H45" s="2">
        <f t="shared" si="11"/>
        <v>4800</v>
      </c>
      <c r="I45" s="2">
        <f t="shared" si="11"/>
        <v>4800</v>
      </c>
      <c r="J45" s="2">
        <f t="shared" si="11"/>
        <v>5000</v>
      </c>
      <c r="K45" s="2">
        <f t="shared" si="11"/>
        <v>5400</v>
      </c>
      <c r="L45" s="2">
        <f t="shared" si="11"/>
        <v>5400</v>
      </c>
      <c r="M45" s="2">
        <f t="shared" si="11"/>
        <v>5400</v>
      </c>
      <c r="N45" s="22">
        <f t="shared" si="11"/>
        <v>5100</v>
      </c>
    </row>
    <row r="46" spans="1:14" ht="15.75">
      <c r="A46" s="2" t="s">
        <v>61</v>
      </c>
      <c r="B46" s="23">
        <f>B45/Inputs!$G$11</f>
        <v>0.9642857142857143</v>
      </c>
      <c r="C46" s="23">
        <f>C45/Inputs!$G$11</f>
        <v>0.9642857142857143</v>
      </c>
      <c r="D46" s="23">
        <f>D45/Inputs!$G$11</f>
        <v>0.9285714285714286</v>
      </c>
      <c r="E46" s="23">
        <f>E45/Inputs!$G$11</f>
        <v>0.8571428571428571</v>
      </c>
      <c r="F46" s="23">
        <f>F45/Inputs!$G$11</f>
        <v>0.8571428571428571</v>
      </c>
      <c r="G46" s="23">
        <f>G45/Inputs!$G$11</f>
        <v>0.8571428571428571</v>
      </c>
      <c r="H46" s="23">
        <f>H45/Inputs!$G$11</f>
        <v>0.8571428571428571</v>
      </c>
      <c r="I46" s="23">
        <f>I45/Inputs!$G$11</f>
        <v>0.8571428571428571</v>
      </c>
      <c r="J46" s="23">
        <f>J45/Inputs!$G$11</f>
        <v>0.8928571428571429</v>
      </c>
      <c r="K46" s="23">
        <f>K45/Inputs!$G$11</f>
        <v>0.9642857142857143</v>
      </c>
      <c r="L46" s="23">
        <f>L45/Inputs!$G$11</f>
        <v>0.9642857142857143</v>
      </c>
      <c r="M46" s="23">
        <f>M45/Inputs!$G$11</f>
        <v>0.9642857142857143</v>
      </c>
      <c r="N46" s="23">
        <f>(N43+N44)/Inputs!$G$11</f>
        <v>0.9107142857142857</v>
      </c>
    </row>
    <row r="48" ht="15.75">
      <c r="A48" s="18" t="s">
        <v>62</v>
      </c>
    </row>
    <row r="49" spans="1:14" ht="15.75">
      <c r="A49" s="4" t="str">
        <f>A29</f>
        <v>  Corn (bu)</v>
      </c>
      <c r="B49" s="21">
        <f>(B$43*'Diets and Performance'!$C$21/'Diets and Performance'!$C$9+B$44*'Diets and Performance'!$D$21/'Diets and Performance'!$D$9)*31</f>
        <v>32691.94094490666</v>
      </c>
      <c r="C49" s="21">
        <f>(C$43*'Diets and Performance'!$C$21/'Diets and Performance'!$C$9+C$44*'Diets and Performance'!$D$21/'Diets and Performance'!$D$9)*31</f>
        <v>32691.94094490666</v>
      </c>
      <c r="D49" s="21">
        <f>(D$43*'Diets and Performance'!$C$21/'Diets and Performance'!$C$9+D$44*'Diets and Performance'!$D$21/'Diets and Performance'!$D$9)*31</f>
        <v>31393.004358867696</v>
      </c>
      <c r="E49" s="21">
        <f>(E$43*'Diets and Performance'!$C$21/'Diets and Performance'!$C$9+E$44*'Diets and Performance'!$D$21/'Diets and Performance'!$D$9)*31</f>
        <v>28978.157869724026</v>
      </c>
      <c r="F49" s="21">
        <f>(F$43*'Diets and Performance'!$C$21/'Diets and Performance'!$C$9+F$44*'Diets and Performance'!$D$21/'Diets and Performance'!$D$9)*31</f>
        <v>28978.157869724026</v>
      </c>
      <c r="G49" s="21">
        <f>(G$43*'Diets and Performance'!$C$21/'Diets and Performance'!$C$9+G$44*'Diets and Performance'!$D$21/'Diets and Performance'!$D$9)*31</f>
        <v>28978.157869724026</v>
      </c>
      <c r="H49" s="21">
        <f>(H$43*'Diets and Performance'!$C$21/'Diets and Performance'!$C$9+H$44*'Diets and Performance'!$D$21/'Diets and Performance'!$D$9)*31</f>
        <v>28978.157869724026</v>
      </c>
      <c r="I49" s="21">
        <f>(I$43*'Diets and Performance'!$C$21/'Diets and Performance'!$C$9+I$44*'Diets and Performance'!$D$21/'Diets and Performance'!$D$9)*31</f>
        <v>28978.157869724026</v>
      </c>
      <c r="J49" s="21">
        <f>(J$43*'Diets and Performance'!$C$21/'Diets and Performance'!$C$9+J$44*'Diets and Performance'!$D$21/'Diets and Performance'!$D$9)*31</f>
        <v>30277.09445576299</v>
      </c>
      <c r="K49" s="21">
        <f>(K$43*'Diets and Performance'!$C$21/'Diets and Performance'!$C$9+K$44*'Diets and Performance'!$D$21/'Diets and Performance'!$D$9)*31</f>
        <v>32691.94094490666</v>
      </c>
      <c r="L49" s="21">
        <f>(L$43*'Diets and Performance'!$C$21/'Diets and Performance'!$C$9+L$44*'Diets and Performance'!$D$21/'Diets and Performance'!$D$9)*31</f>
        <v>32691.94094490666</v>
      </c>
      <c r="M49" s="21">
        <f>(M$43*'Diets and Performance'!$C$21/'Diets and Performance'!$C$9+M$44*'Diets and Performance'!$D$21/'Diets and Performance'!$D$9)*31</f>
        <v>32691.94094490666</v>
      </c>
      <c r="N49" s="21">
        <f aca="true" t="shared" si="12" ref="N49:N55">SUM(B49:M49)</f>
        <v>370020.5928877842</v>
      </c>
    </row>
    <row r="50" spans="1:14" ht="15.75">
      <c r="A50" s="4" t="str">
        <f aca="true" t="shared" si="13" ref="A50:A55">A30</f>
        <v>  WDGS (T)</v>
      </c>
      <c r="B50" s="21">
        <f>(B$43*'Diets and Performance'!$C$22/'Diets and Performance'!$C$9+B$44*'Diets and Performance'!$D$22/'Diets and Performance'!$D$9)*31</f>
        <v>1741.4405</v>
      </c>
      <c r="C50" s="21">
        <f>(C$43*'Diets and Performance'!$C$22/'Diets and Performance'!$C$9+C$44*'Diets and Performance'!$D$22/'Diets and Performance'!$D$9)*31</f>
        <v>1741.4405</v>
      </c>
      <c r="D50" s="21">
        <f>(D$43*'Diets and Performance'!$C$22/'Diets and Performance'!$C$9+D$44*'Diets and Performance'!$D$22/'Diets and Performance'!$D$9)*31</f>
        <v>1672.2485</v>
      </c>
      <c r="E50" s="21">
        <f>(E$43*'Diets and Performance'!$C$22/'Diets and Performance'!$C$9+E$44*'Diets and Performance'!$D$22/'Diets and Performance'!$D$9)*31</f>
        <v>1543.6139999999998</v>
      </c>
      <c r="F50" s="21">
        <f>(F$43*'Diets and Performance'!$C$22/'Diets and Performance'!$C$9+F$44*'Diets and Performance'!$D$22/'Diets and Performance'!$D$9)*31</f>
        <v>1543.6139999999998</v>
      </c>
      <c r="G50" s="21">
        <f>(G$43*'Diets and Performance'!$C$22/'Diets and Performance'!$C$9+G$44*'Diets and Performance'!$D$22/'Diets and Performance'!$D$9)*31</f>
        <v>1543.6139999999998</v>
      </c>
      <c r="H50" s="21">
        <f>(H$43*'Diets and Performance'!$C$22/'Diets and Performance'!$C$9+H$44*'Diets and Performance'!$D$22/'Diets and Performance'!$D$9)*31</f>
        <v>1543.6139999999998</v>
      </c>
      <c r="I50" s="21">
        <f>(I$43*'Diets and Performance'!$C$22/'Diets and Performance'!$C$9+I$44*'Diets and Performance'!$D$22/'Diets and Performance'!$D$9)*31</f>
        <v>1543.6139999999998</v>
      </c>
      <c r="J50" s="21">
        <f>(J$43*'Diets and Performance'!$C$22/'Diets and Performance'!$C$9+J$44*'Diets and Performance'!$D$22/'Diets and Performance'!$D$9)*31</f>
        <v>1612.8059999999998</v>
      </c>
      <c r="K50" s="21">
        <f>(K$43*'Diets and Performance'!$C$22/'Diets and Performance'!$C$9+K$44*'Diets and Performance'!$D$22/'Diets and Performance'!$D$9)*31</f>
        <v>1741.4405</v>
      </c>
      <c r="L50" s="21">
        <f>(L$43*'Diets and Performance'!$C$22/'Diets and Performance'!$C$9+L$44*'Diets and Performance'!$D$22/'Diets and Performance'!$D$9)*31</f>
        <v>1741.4405</v>
      </c>
      <c r="M50" s="21">
        <f>(M$43*'Diets and Performance'!$C$22/'Diets and Performance'!$C$9+M$44*'Diets and Performance'!$D$22/'Diets and Performance'!$D$9)*31</f>
        <v>1741.4405</v>
      </c>
      <c r="N50" s="21">
        <f t="shared" si="12"/>
        <v>19710.327</v>
      </c>
    </row>
    <row r="51" spans="1:14" ht="15.75">
      <c r="A51" s="4" t="str">
        <f t="shared" si="13"/>
        <v>  Mixed hay (ton)</v>
      </c>
      <c r="B51" s="21">
        <f>(B$43*'Diets and Performance'!$C$23/'Diets and Performance'!$C$9+B$44*'Diets and Performance'!$D$23/'Diets and Performance'!$D$9)*31</f>
        <v>76.54683516483517</v>
      </c>
      <c r="C51" s="21">
        <f>(C$43*'Diets and Performance'!$C$23/'Diets and Performance'!$C$9+C$44*'Diets and Performance'!$D$23/'Diets and Performance'!$D$9)*31</f>
        <v>76.54683516483517</v>
      </c>
      <c r="D51" s="21">
        <f>(D$43*'Diets and Performance'!$C$23/'Diets and Performance'!$C$9+D$44*'Diets and Performance'!$D$23/'Diets and Performance'!$D$9)*31</f>
        <v>73.50542857142858</v>
      </c>
      <c r="E51" s="21">
        <f>(E$43*'Diets and Performance'!$C$23/'Diets and Performance'!$C$9+E$44*'Diets and Performance'!$D$23/'Diets and Performance'!$D$9)*31</f>
        <v>67.85116483516484</v>
      </c>
      <c r="F51" s="21">
        <f>(F$43*'Diets and Performance'!$C$23/'Diets and Performance'!$C$9+F$44*'Diets and Performance'!$D$23/'Diets and Performance'!$D$9)*31</f>
        <v>67.85116483516484</v>
      </c>
      <c r="G51" s="21">
        <f>(G$43*'Diets and Performance'!$C$23/'Diets and Performance'!$C$9+G$44*'Diets and Performance'!$D$23/'Diets and Performance'!$D$9)*31</f>
        <v>67.85116483516484</v>
      </c>
      <c r="H51" s="21">
        <f>(H$43*'Diets and Performance'!$C$23/'Diets and Performance'!$C$9+H$44*'Diets and Performance'!$D$23/'Diets and Performance'!$D$9)*31</f>
        <v>67.85116483516484</v>
      </c>
      <c r="I51" s="21">
        <f>(I$43*'Diets and Performance'!$C$23/'Diets and Performance'!$C$9+I$44*'Diets and Performance'!$D$23/'Diets and Performance'!$D$9)*31</f>
        <v>67.85116483516484</v>
      </c>
      <c r="J51" s="21">
        <f>(J$43*'Diets and Performance'!$C$23/'Diets and Performance'!$C$9+J$44*'Diets and Performance'!$D$23/'Diets and Performance'!$D$9)*31</f>
        <v>70.89257142857144</v>
      </c>
      <c r="K51" s="21">
        <f>(K$43*'Diets and Performance'!$C$23/'Diets and Performance'!$C$9+K$44*'Diets and Performance'!$D$23/'Diets and Performance'!$D$9)*31</f>
        <v>76.54683516483517</v>
      </c>
      <c r="L51" s="21">
        <f>(L$43*'Diets and Performance'!$C$23/'Diets and Performance'!$C$9+L$44*'Diets and Performance'!$D$23/'Diets and Performance'!$D$9)*31</f>
        <v>76.54683516483517</v>
      </c>
      <c r="M51" s="21">
        <f>(M$43*'Diets and Performance'!$C$23/'Diets and Performance'!$C$9+M$44*'Diets and Performance'!$D$23/'Diets and Performance'!$D$9)*31</f>
        <v>76.54683516483517</v>
      </c>
      <c r="N51" s="21">
        <f t="shared" si="12"/>
        <v>866.388</v>
      </c>
    </row>
    <row r="52" spans="1:14" ht="15.75">
      <c r="A52" s="4" t="str">
        <f t="shared" si="13"/>
        <v>  Corn Silage (ton)</v>
      </c>
      <c r="B52" s="21">
        <f>(B$43*'Diets and Performance'!$C$24/'Diets and Performance'!$C$9+B$44*'Diets and Performance'!$D$24/'Diets and Performance'!$D$9)*31</f>
        <v>366.619052631579</v>
      </c>
      <c r="C52" s="21">
        <f>(C$43*'Diets and Performance'!$C$24/'Diets and Performance'!$C$9+C$44*'Diets and Performance'!$D$24/'Diets and Performance'!$D$9)*31</f>
        <v>366.619052631579</v>
      </c>
      <c r="D52" s="21">
        <f>(D$43*'Diets and Performance'!$C$24/'Diets and Performance'!$C$9+D$44*'Diets and Performance'!$D$24/'Diets and Performance'!$D$9)*31</f>
        <v>352.0523157894737</v>
      </c>
      <c r="E52" s="21">
        <f>(E$43*'Diets and Performance'!$C$24/'Diets and Performance'!$C$9+E$44*'Diets and Performance'!$D$24/'Diets and Performance'!$D$9)*31</f>
        <v>324.9713684210527</v>
      </c>
      <c r="F52" s="21">
        <f>(F$43*'Diets and Performance'!$C$24/'Diets and Performance'!$C$9+F$44*'Diets and Performance'!$D$24/'Diets and Performance'!$D$9)*31</f>
        <v>324.9713684210527</v>
      </c>
      <c r="G52" s="21">
        <f>(G$43*'Diets and Performance'!$C$24/'Diets and Performance'!$C$9+G$44*'Diets and Performance'!$D$24/'Diets and Performance'!$D$9)*31</f>
        <v>324.9713684210527</v>
      </c>
      <c r="H52" s="21">
        <f>(H$43*'Diets and Performance'!$C$24/'Diets and Performance'!$C$9+H$44*'Diets and Performance'!$D$24/'Diets and Performance'!$D$9)*31</f>
        <v>324.9713684210527</v>
      </c>
      <c r="I52" s="21">
        <f>(I$43*'Diets and Performance'!$C$24/'Diets and Performance'!$C$9+I$44*'Diets and Performance'!$D$24/'Diets and Performance'!$D$9)*31</f>
        <v>324.9713684210527</v>
      </c>
      <c r="J52" s="21">
        <f>(J$43*'Diets and Performance'!$C$24/'Diets and Performance'!$C$9+J$44*'Diets and Performance'!$D$24/'Diets and Performance'!$D$9)*31</f>
        <v>339.53810526315795</v>
      </c>
      <c r="K52" s="21">
        <f>(K$43*'Diets and Performance'!$C$24/'Diets and Performance'!$C$9+K$44*'Diets and Performance'!$D$24/'Diets and Performance'!$D$9)*31</f>
        <v>366.619052631579</v>
      </c>
      <c r="L52" s="21">
        <f>(L$43*'Diets and Performance'!$C$24/'Diets and Performance'!$C$9+L$44*'Diets and Performance'!$D$24/'Diets and Performance'!$D$9)*31</f>
        <v>366.619052631579</v>
      </c>
      <c r="M52" s="21">
        <f>(M$43*'Diets and Performance'!$C$24/'Diets and Performance'!$C$9+M$44*'Diets and Performance'!$D$24/'Diets and Performance'!$D$9)*31</f>
        <v>366.619052631579</v>
      </c>
      <c r="N52" s="21">
        <f t="shared" si="12"/>
        <v>4149.54252631579</v>
      </c>
    </row>
    <row r="53" spans="1:14" ht="15.75">
      <c r="A53" s="4" t="str">
        <f t="shared" si="13"/>
        <v>  Other Feed (ton)</v>
      </c>
      <c r="B53" s="21">
        <f>(B$43*'Diets and Performance'!$C$25/'Diets and Performance'!$C$9+B$44*'Diets and Performance'!$D$25/'Diets and Performance'!$D$9)*31</f>
        <v>0</v>
      </c>
      <c r="C53" s="21">
        <f>(C$43*'Diets and Performance'!$C$25/'Diets and Performance'!$C$9+C$44*'Diets and Performance'!$D$25/'Diets and Performance'!$D$9)*31</f>
        <v>0</v>
      </c>
      <c r="D53" s="21">
        <f>(D$43*'Diets and Performance'!$C$25/'Diets and Performance'!$C$9+D$44*'Diets and Performance'!$D$25/'Diets and Performance'!$D$9)*31</f>
        <v>0</v>
      </c>
      <c r="E53" s="21">
        <f>(E$43*'Diets and Performance'!$C$25/'Diets and Performance'!$C$9+E$44*'Diets and Performance'!$D$25/'Diets and Performance'!$D$9)*31</f>
        <v>0</v>
      </c>
      <c r="F53" s="21">
        <f>(F$43*'Diets and Performance'!$C$25/'Diets and Performance'!$C$9+F$44*'Diets and Performance'!$D$25/'Diets and Performance'!$D$9)*31</f>
        <v>0</v>
      </c>
      <c r="G53" s="21">
        <f>(G$43*'Diets and Performance'!$C$25/'Diets and Performance'!$C$9+G$44*'Diets and Performance'!$D$25/'Diets and Performance'!$D$9)*31</f>
        <v>0</v>
      </c>
      <c r="H53" s="21">
        <f>(H$43*'Diets and Performance'!$C$25/'Diets and Performance'!$C$9+H$44*'Diets and Performance'!$D$25/'Diets and Performance'!$D$9)*31</f>
        <v>0</v>
      </c>
      <c r="I53" s="21">
        <f>(I$43*'Diets and Performance'!$C$25/'Diets and Performance'!$C$9+I$44*'Diets and Performance'!$D$25/'Diets and Performance'!$D$9)*31</f>
        <v>0</v>
      </c>
      <c r="J53" s="21">
        <f>(J$43*'Diets and Performance'!$C$25/'Diets and Performance'!$C$9+J$44*'Diets and Performance'!$D$25/'Diets and Performance'!$D$9)*31</f>
        <v>0</v>
      </c>
      <c r="K53" s="21">
        <f>(K$43*'Diets and Performance'!$C$25/'Diets and Performance'!$C$9+K$44*'Diets and Performance'!$D$25/'Diets and Performance'!$D$9)*31</f>
        <v>0</v>
      </c>
      <c r="L53" s="21">
        <f>(L$43*'Diets and Performance'!$C$25/'Diets and Performance'!$C$9+L$44*'Diets and Performance'!$D$25/'Diets and Performance'!$D$9)*31</f>
        <v>0</v>
      </c>
      <c r="M53" s="21">
        <f>(M$43*'Diets and Performance'!$C$25/'Diets and Performance'!$C$9+M$44*'Diets and Performance'!$D$25/'Diets and Performance'!$D$9)*31</f>
        <v>0</v>
      </c>
      <c r="N53" s="21">
        <f t="shared" si="12"/>
        <v>0</v>
      </c>
    </row>
    <row r="54" spans="1:14" ht="15.75">
      <c r="A54" s="4" t="str">
        <f t="shared" si="13"/>
        <v>  Natural Sup (cwt)</v>
      </c>
      <c r="B54" s="21">
        <f>(B$43*'Diets and Performance'!$C$27/'Diets and Performance'!$C$9+B$44*'Diets and Performance'!$D$27/'Diets and Performance'!$D$9)*31</f>
        <v>607.2403023500001</v>
      </c>
      <c r="C54" s="21">
        <f>(C$43*'Diets and Performance'!$C$27/'Diets and Performance'!$C$9+C$44*'Diets and Performance'!$D$27/'Diets and Performance'!$D$9)*31</f>
        <v>607.2403023500001</v>
      </c>
      <c r="D54" s="21">
        <f>(D$43*'Diets and Performance'!$C$27/'Diets and Performance'!$C$9+D$44*'Diets and Performance'!$D$27/'Diets and Performance'!$D$9)*31</f>
        <v>583.11305195</v>
      </c>
      <c r="E54" s="21">
        <f>(E$43*'Diets and Performance'!$C$27/'Diets and Performance'!$C$9+E$44*'Diets and Performance'!$D$27/'Diets and Performance'!$D$9)*31</f>
        <v>538.2582018</v>
      </c>
      <c r="F54" s="21">
        <f>(F$43*'Diets and Performance'!$C$27/'Diets and Performance'!$C$9+F$44*'Diets and Performance'!$D$27/'Diets and Performance'!$D$9)*31</f>
        <v>538.2582018</v>
      </c>
      <c r="G54" s="21">
        <f>(G$43*'Diets and Performance'!$C$27/'Diets and Performance'!$C$9+G$44*'Diets and Performance'!$D$27/'Diets and Performance'!$D$9)*31</f>
        <v>538.2582018</v>
      </c>
      <c r="H54" s="21">
        <f>(H$43*'Diets and Performance'!$C$27/'Diets and Performance'!$C$9+H$44*'Diets and Performance'!$D$27/'Diets and Performance'!$D$9)*31</f>
        <v>538.2582018</v>
      </c>
      <c r="I54" s="21">
        <f>(I$43*'Diets and Performance'!$C$27/'Diets and Performance'!$C$9+I$44*'Diets and Performance'!$D$27/'Diets and Performance'!$D$9)*31</f>
        <v>538.2582018</v>
      </c>
      <c r="J54" s="21">
        <f>(J$43*'Diets and Performance'!$C$27/'Diets and Performance'!$C$9+J$44*'Diets and Performance'!$D$27/'Diets and Performance'!$D$9)*31</f>
        <v>562.3854522000001</v>
      </c>
      <c r="K54" s="21">
        <f>(K$43*'Diets and Performance'!$C$27/'Diets and Performance'!$C$9+K$44*'Diets and Performance'!$D$27/'Diets and Performance'!$D$9)*31</f>
        <v>607.2403023500001</v>
      </c>
      <c r="L54" s="21">
        <f>(L$43*'Diets and Performance'!$C$27/'Diets and Performance'!$C$9+L$44*'Diets and Performance'!$D$27/'Diets and Performance'!$D$9)*31</f>
        <v>607.2403023500001</v>
      </c>
      <c r="M54" s="21">
        <f>(M$43*'Diets and Performance'!$C$27/'Diets and Performance'!$C$9+M$44*'Diets and Performance'!$D$27/'Diets and Performance'!$D$9)*31</f>
        <v>607.2403023500001</v>
      </c>
      <c r="N54" s="21">
        <f t="shared" si="12"/>
        <v>6872.991024900001</v>
      </c>
    </row>
    <row r="55" spans="1:14" ht="15.75">
      <c r="A55" s="4" t="str">
        <f t="shared" si="13"/>
        <v>  Vit&amp;Min Suppl (cwt)</v>
      </c>
      <c r="B55" s="21">
        <f>(B$43*'Diets and Performance'!$C$28/'Diets and Performance'!$C$9+B$44*'Diets and Performance'!$D$28/'Diets and Performance'!$D$9)*31</f>
        <v>0</v>
      </c>
      <c r="C55" s="21">
        <f>(C$43*'Diets and Performance'!$C$28/'Diets and Performance'!$C$9+C$44*'Diets and Performance'!$D$28/'Diets and Performance'!$D$9)*31</f>
        <v>0</v>
      </c>
      <c r="D55" s="21">
        <f>(D$43*'Diets and Performance'!$C$28/'Diets and Performance'!$C$9+D$44*'Diets and Performance'!$D$28/'Diets and Performance'!$D$9)*31</f>
        <v>0</v>
      </c>
      <c r="E55" s="21">
        <f>(E$43*'Diets and Performance'!$C$28/'Diets and Performance'!$C$9+E$44*'Diets and Performance'!$D$28/'Diets and Performance'!$D$9)*31</f>
        <v>0</v>
      </c>
      <c r="F55" s="21">
        <f>(F$43*'Diets and Performance'!$C$28/'Diets and Performance'!$C$9+F$44*'Diets and Performance'!$D$28/'Diets and Performance'!$D$9)*31</f>
        <v>0</v>
      </c>
      <c r="G55" s="21">
        <f>(G$43*'Diets and Performance'!$C$28/'Diets and Performance'!$C$9+G$44*'Diets and Performance'!$D$28/'Diets and Performance'!$D$9)*31</f>
        <v>0</v>
      </c>
      <c r="H55" s="21">
        <f>(H$43*'Diets and Performance'!$C$28/'Diets and Performance'!$C$9+H$44*'Diets and Performance'!$D$28/'Diets and Performance'!$D$9)*31</f>
        <v>0</v>
      </c>
      <c r="I55" s="21">
        <f>(I$43*'Diets and Performance'!$C$28/'Diets and Performance'!$C$9+I$44*'Diets and Performance'!$D$28/'Diets and Performance'!$D$9)*31</f>
        <v>0</v>
      </c>
      <c r="J55" s="21">
        <f>(J$43*'Diets and Performance'!$C$28/'Diets and Performance'!$C$9+J$44*'Diets and Performance'!$D$28/'Diets and Performance'!$D$9)*31</f>
        <v>0</v>
      </c>
      <c r="K55" s="21">
        <f>(K$43*'Diets and Performance'!$C$28/'Diets and Performance'!$C$9+K$44*'Diets and Performance'!$D$28/'Diets and Performance'!$D$9)*31</f>
        <v>0</v>
      </c>
      <c r="L55" s="21">
        <f>(L$43*'Diets and Performance'!$C$28/'Diets and Performance'!$C$9+L$44*'Diets and Performance'!$D$28/'Diets and Performance'!$D$9)*31</f>
        <v>0</v>
      </c>
      <c r="M55" s="21">
        <f>(M$43*'Diets and Performance'!$C$28/'Diets and Performance'!$C$9+M$44*'Diets and Performance'!$D$28/'Diets and Performance'!$D$9)*31</f>
        <v>0</v>
      </c>
      <c r="N55" s="21">
        <f t="shared" si="12"/>
        <v>0</v>
      </c>
    </row>
    <row r="57" ht="15.75">
      <c r="A57" s="18" t="s">
        <v>67</v>
      </c>
    </row>
    <row r="58" spans="1:14" ht="15.75">
      <c r="A58" s="4" t="str">
        <f>A49</f>
        <v>  Corn (bu)</v>
      </c>
      <c r="B58" s="21">
        <f>(B49*'Prices and Spreads'!$D$5*'Prices and Spreads'!C$34)</f>
        <v>97830.63327763317</v>
      </c>
      <c r="C58" s="21">
        <f>(C49*'Prices and Spreads'!$D$5*'Prices and Spreads'!D$34)</f>
        <v>100920.02169692685</v>
      </c>
      <c r="D58" s="21">
        <f>(D49*'Prices and Spreads'!$D$5*'Prices and Spreads'!E$34)</f>
        <v>98887.96373043324</v>
      </c>
      <c r="E58" s="21">
        <f>(E49*'Prices and Spreads'!$D$5*'Prices and Spreads'!F$34)</f>
        <v>93106.8212354233</v>
      </c>
      <c r="F58" s="21">
        <f>(F49*'Prices and Spreads'!$D$5*'Prices and Spreads'!G$34)</f>
        <v>94932.44518121591</v>
      </c>
      <c r="G58" s="21">
        <f>(G49*'Prices and Spreads'!$D$5*'Prices and Spreads'!H$34)</f>
        <v>98583.69307280115</v>
      </c>
      <c r="H58" s="21">
        <f>(H49*'Prices and Spreads'!$D$5*'Prices and Spreads'!I$34)</f>
        <v>100409.31701859376</v>
      </c>
      <c r="I58" s="21">
        <f>(I49*'Prices and Spreads'!$D$5*'Prices and Spreads'!J$34)</f>
        <v>104973.37688307528</v>
      </c>
      <c r="J58" s="21">
        <f>(J49*'Prices and Spreads'!$D$5*'Prices and Spreads'!K$34)</f>
        <v>89650.47668351419</v>
      </c>
      <c r="K58" s="21">
        <f>(K49*'Prices and Spreads'!$D$5*'Prices and Spreads'!L$33)</f>
        <v>94741.2448583395</v>
      </c>
      <c r="L58" s="21">
        <f>(L49*'Prices and Spreads'!$D$5*'Prices and Spreads'!M$33)</f>
        <v>92681.65257881038</v>
      </c>
      <c r="M58" s="21">
        <f>(M49*'Prices and Spreads'!$D$5*'Prices and Spreads'!N$33)</f>
        <v>94741.2448583395</v>
      </c>
      <c r="N58" s="21">
        <f aca="true" t="shared" si="14" ref="N58:N65">SUM(B58:M58)</f>
        <v>1161458.891075106</v>
      </c>
    </row>
    <row r="59" spans="1:14" ht="15.75">
      <c r="A59" s="4" t="str">
        <f aca="true" t="shared" si="15" ref="A59:A64">A50</f>
        <v>  WDGS (T)</v>
      </c>
      <c r="B59" s="21">
        <f>(B50*'Prices and Spreads'!$D$6*'Prices and Spreads'!C$35)</f>
        <v>67001.92323749998</v>
      </c>
      <c r="C59" s="21">
        <f>(C50*'Prices and Spreads'!$D$6*'Prices and Spreads'!D$35)</f>
        <v>69117.773445</v>
      </c>
      <c r="D59" s="21">
        <f>(D50*'Prices and Spreads'!$D$6*'Prices and Spreads'!E$35)</f>
        <v>67726.06425</v>
      </c>
      <c r="E59" s="21">
        <f>(E50*'Prices and Spreads'!$D$6*'Prices and Spreads'!F$35)</f>
        <v>63766.694339999995</v>
      </c>
      <c r="F59" s="21">
        <f>(F50*'Prices and Spreads'!$D$6*'Prices and Spreads'!G$35)</f>
        <v>65017.02167999999</v>
      </c>
      <c r="G59" s="21">
        <f>(G50*'Prices and Spreads'!$D$6*'Prices and Spreads'!H$35)</f>
        <v>67517.67636</v>
      </c>
      <c r="H59" s="21">
        <f>(H50*'Prices and Spreads'!$D$6*'Prices and Spreads'!I$35)</f>
        <v>68768.0037</v>
      </c>
      <c r="I59" s="21">
        <f>(I50*'Prices and Spreads'!$D$6*'Prices and Spreads'!J$35)</f>
        <v>71893.82204999999</v>
      </c>
      <c r="J59" s="21">
        <f>(J50*'Prices and Spreads'!$D$6*'Prices and Spreads'!K$35)</f>
        <v>61399.52441999999</v>
      </c>
      <c r="K59" s="21">
        <f>(K50*'Prices and Spreads'!$D$6*'Prices and Spreads'!L$34)</f>
        <v>64886.07303</v>
      </c>
      <c r="L59" s="21">
        <f>(L50*'Prices and Spreads'!$D$6*'Prices and Spreads'!M$34)</f>
        <v>63475.506225</v>
      </c>
      <c r="M59" s="21">
        <f>(M50*'Prices and Spreads'!$D$6*'Prices and Spreads'!N$34)</f>
        <v>64886.07303</v>
      </c>
      <c r="N59" s="21">
        <f t="shared" si="14"/>
        <v>795456.1557674999</v>
      </c>
    </row>
    <row r="60" spans="1:14" ht="15.75">
      <c r="A60" s="4" t="str">
        <f t="shared" si="15"/>
        <v>  Mixed hay (ton)</v>
      </c>
      <c r="B60" s="21">
        <f>(B51*'Prices and Spreads'!$D$7*'Prices and Spreads'!C$36)</f>
        <v>4776.522514285715</v>
      </c>
      <c r="C60" s="21">
        <f>(C51*'Prices and Spreads'!$D$7*'Prices and Spreads'!D$36)</f>
        <v>4960.23491868132</v>
      </c>
      <c r="D60" s="21">
        <f>(D51*'Prices and Spreads'!$D$7*'Prices and Spreads'!E$36)</f>
        <v>4807.25502857143</v>
      </c>
      <c r="E60" s="21">
        <f>(E51*'Prices and Spreads'!$D$7*'Prices and Spreads'!F$36)</f>
        <v>4193.201986813187</v>
      </c>
      <c r="F60" s="21">
        <f>(F51*'Prices and Spreads'!$D$7*'Prices and Spreads'!G$36)</f>
        <v>4071.0698901098904</v>
      </c>
      <c r="G60" s="21">
        <f>(G51*'Prices and Spreads'!$D$7*'Prices and Spreads'!H$36)</f>
        <v>3745.384298901099</v>
      </c>
      <c r="H60" s="21">
        <f>(H51*'Prices and Spreads'!$D$7*'Prices and Spreads'!I$36)</f>
        <v>3663.9629010989015</v>
      </c>
      <c r="I60" s="21">
        <f>(I51*'Prices and Spreads'!$D$7*'Prices and Spreads'!J$36)</f>
        <v>3745.384298901099</v>
      </c>
      <c r="J60" s="21">
        <f>(J51*'Prices and Spreads'!$D$7*'Prices and Spreads'!K$36)</f>
        <v>4168.483200000001</v>
      </c>
      <c r="K60" s="21">
        <f>(K51*'Prices and Spreads'!$D$7*'Prices and Spreads'!L$35)</f>
        <v>4592.810109890111</v>
      </c>
      <c r="L60" s="21">
        <f>(L51*'Prices and Spreads'!$D$7*'Prices and Spreads'!M$35)</f>
        <v>4684.666312087913</v>
      </c>
      <c r="M60" s="21">
        <f>(M51*'Prices and Spreads'!$D$7*'Prices and Spreads'!N$35)</f>
        <v>4684.666312087913</v>
      </c>
      <c r="N60" s="21">
        <f t="shared" si="14"/>
        <v>52093.64177142858</v>
      </c>
    </row>
    <row r="61" spans="1:14" ht="15.75">
      <c r="A61" s="4" t="str">
        <f t="shared" si="15"/>
        <v>  Corn Silage (ton)</v>
      </c>
      <c r="B61" s="21">
        <f>(B52*'Prices and Spreads'!$D$8*'Prices and Spreads'!C$37)</f>
        <v>11548.500157894738</v>
      </c>
      <c r="C61" s="21">
        <f>(C52*'Prices and Spreads'!$D$8*'Prices and Spreads'!D$37)</f>
        <v>11548.500157894738</v>
      </c>
      <c r="D61" s="21">
        <f>(D52*'Prices and Spreads'!$D$8*'Prices and Spreads'!E$37)</f>
        <v>11089.647947368421</v>
      </c>
      <c r="E61" s="21">
        <f>(E52*'Prices and Spreads'!$D$8*'Prices and Spreads'!F$37)</f>
        <v>10236.598105263161</v>
      </c>
      <c r="F61" s="21">
        <f>(F52*'Prices and Spreads'!$D$8*'Prices and Spreads'!G$37)</f>
        <v>10236.598105263161</v>
      </c>
      <c r="G61" s="21">
        <f>(G52*'Prices and Spreads'!$D$8*'Prices and Spreads'!H$37)</f>
        <v>10236.598105263161</v>
      </c>
      <c r="H61" s="21">
        <f>(H52*'Prices and Spreads'!$D$8*'Prices and Spreads'!I$37)</f>
        <v>10236.598105263161</v>
      </c>
      <c r="I61" s="21">
        <f>(I52*'Prices and Spreads'!$D$8*'Prices and Spreads'!J$37)</f>
        <v>10236.598105263161</v>
      </c>
      <c r="J61" s="21">
        <f>(J52*'Prices and Spreads'!$D$8*'Prices and Spreads'!K$37)</f>
        <v>10695.450315789476</v>
      </c>
      <c r="K61" s="21">
        <f>(K52*'Prices and Spreads'!$D$8*'Prices and Spreads'!L$36)</f>
        <v>11548.500157894738</v>
      </c>
      <c r="L61" s="21">
        <f>(L52*'Prices and Spreads'!$D$8*'Prices and Spreads'!M$36)</f>
        <v>11548.500157894738</v>
      </c>
      <c r="M61" s="21">
        <f>(M52*'Prices and Spreads'!$D$8*'Prices and Spreads'!N$36)</f>
        <v>11548.500157894738</v>
      </c>
      <c r="N61" s="21">
        <f t="shared" si="14"/>
        <v>130710.58957894742</v>
      </c>
    </row>
    <row r="62" spans="1:14" ht="15.75">
      <c r="A62" s="4" t="str">
        <f t="shared" si="15"/>
        <v>  Other Feed (ton)</v>
      </c>
      <c r="B62" s="21">
        <f>(B53*'Prices and Spreads'!$D$9*'Prices and Spreads'!C$38)</f>
        <v>0</v>
      </c>
      <c r="C62" s="21">
        <f>(C53*'Prices and Spreads'!$D$9*'Prices and Spreads'!D$38)</f>
        <v>0</v>
      </c>
      <c r="D62" s="21">
        <f>(D53*'Prices and Spreads'!$D$9*'Prices and Spreads'!E$38)</f>
        <v>0</v>
      </c>
      <c r="E62" s="21">
        <f>(E53*'Prices and Spreads'!$D$9*'Prices and Spreads'!F$38)</f>
        <v>0</v>
      </c>
      <c r="F62" s="21">
        <f>(F53*'Prices and Spreads'!$D$9*'Prices and Spreads'!G$38)</f>
        <v>0</v>
      </c>
      <c r="G62" s="21">
        <f>(G53*'Prices and Spreads'!$D$9*'Prices and Spreads'!H$38)</f>
        <v>0</v>
      </c>
      <c r="H62" s="21">
        <f>(H53*'Prices and Spreads'!$D$9*'Prices and Spreads'!I$38)</f>
        <v>0</v>
      </c>
      <c r="I62" s="21">
        <f>(I53*'Prices and Spreads'!$D$9*'Prices and Spreads'!J$38)</f>
        <v>0</v>
      </c>
      <c r="J62" s="21">
        <f>(J53*'Prices and Spreads'!$D$9*'Prices and Spreads'!K$38)</f>
        <v>0</v>
      </c>
      <c r="K62" s="21">
        <f>(K53*'Prices and Spreads'!$D$9*'Prices and Spreads'!L$37)</f>
        <v>0</v>
      </c>
      <c r="L62" s="21">
        <f>(L53*'Prices and Spreads'!$D$9*'Prices and Spreads'!M$37)</f>
        <v>0</v>
      </c>
      <c r="M62" s="21">
        <f>(M53*'Prices and Spreads'!$D$9*'Prices and Spreads'!N$37)</f>
        <v>0</v>
      </c>
      <c r="N62" s="21">
        <f t="shared" si="14"/>
        <v>0</v>
      </c>
    </row>
    <row r="63" spans="1:14" ht="15.75">
      <c r="A63" s="4" t="str">
        <f t="shared" si="15"/>
        <v>  Natural Sup (cwt)</v>
      </c>
      <c r="B63" s="21">
        <f>(B54*'Prices and Spreads'!$D$10*'Prices and Spreads'!C$39)</f>
        <v>18217.2090705</v>
      </c>
      <c r="C63" s="21">
        <f>(C54*'Prices and Spreads'!$D$10*'Prices and Spreads'!D$39)</f>
        <v>18217.2090705</v>
      </c>
      <c r="D63" s="21">
        <f>(D54*'Prices and Spreads'!$D$10*'Prices and Spreads'!E$39)</f>
        <v>17493.3915585</v>
      </c>
      <c r="E63" s="21">
        <f>(E54*'Prices and Spreads'!$D$10*'Prices and Spreads'!F$39)</f>
        <v>16147.746054000001</v>
      </c>
      <c r="F63" s="21">
        <f>(F54*'Prices and Spreads'!$D$10*'Prices and Spreads'!G$39)</f>
        <v>16147.746054000001</v>
      </c>
      <c r="G63" s="21">
        <f>(G54*'Prices and Spreads'!$D$10*'Prices and Spreads'!H$39)</f>
        <v>16147.746054000001</v>
      </c>
      <c r="H63" s="21">
        <f>(H54*'Prices and Spreads'!$D$10*'Prices and Spreads'!I$39)</f>
        <v>16147.746054000001</v>
      </c>
      <c r="I63" s="21">
        <f>(I54*'Prices and Spreads'!$D$10*'Prices and Spreads'!J$39)</f>
        <v>16147.746054000001</v>
      </c>
      <c r="J63" s="21">
        <f>(J54*'Prices and Spreads'!$D$10*'Prices and Spreads'!K$39)</f>
        <v>16871.563566000004</v>
      </c>
      <c r="K63" s="21">
        <f>(K54*'Prices and Spreads'!$D$10*'Prices and Spreads'!L$38)</f>
        <v>18217.2090705</v>
      </c>
      <c r="L63" s="21">
        <f>(L54*'Prices and Spreads'!$D$10*'Prices and Spreads'!M$38)</f>
        <v>18217.2090705</v>
      </c>
      <c r="M63" s="21">
        <f>(M54*'Prices and Spreads'!$D$10*'Prices and Spreads'!N$38)</f>
        <v>18217.2090705</v>
      </c>
      <c r="N63" s="21">
        <f t="shared" si="14"/>
        <v>206189.73074699997</v>
      </c>
    </row>
    <row r="64" spans="1:14" ht="15.75">
      <c r="A64" s="4" t="str">
        <f t="shared" si="15"/>
        <v>  Vit&amp;Min Suppl (cwt)</v>
      </c>
      <c r="B64" s="21">
        <f>(B55*'Prices and Spreads'!$D$11*'Prices and Spreads'!C$40)</f>
        <v>0</v>
      </c>
      <c r="C64" s="21">
        <f>(C55*'Prices and Spreads'!$D$11*'Prices and Spreads'!D$40)</f>
        <v>0</v>
      </c>
      <c r="D64" s="21">
        <f>(D55*'Prices and Spreads'!$D$11*'Prices and Spreads'!E$40)</f>
        <v>0</v>
      </c>
      <c r="E64" s="21">
        <f>(E55*'Prices and Spreads'!$D$11*'Prices and Spreads'!F$40)</f>
        <v>0</v>
      </c>
      <c r="F64" s="21">
        <f>(F55*'Prices and Spreads'!$D$11*'Prices and Spreads'!G$40)</f>
        <v>0</v>
      </c>
      <c r="G64" s="21">
        <f>(G55*'Prices and Spreads'!$D$11*'Prices and Spreads'!H$40)</f>
        <v>0</v>
      </c>
      <c r="H64" s="21">
        <f>(H55*'Prices and Spreads'!$D$11*'Prices and Spreads'!I$40)</f>
        <v>0</v>
      </c>
      <c r="I64" s="21">
        <f>(I55*'Prices and Spreads'!$D$11*'Prices and Spreads'!J$40)</f>
        <v>0</v>
      </c>
      <c r="J64" s="21">
        <f>(J55*'Prices and Spreads'!$D$11*'Prices and Spreads'!K$40)</f>
        <v>0</v>
      </c>
      <c r="K64" s="21">
        <f>(K55*'Prices and Spreads'!$D$11*'Prices and Spreads'!L$39)</f>
        <v>0</v>
      </c>
      <c r="L64" s="21">
        <f>(L55*'Prices and Spreads'!$D$11*'Prices and Spreads'!M$39)</f>
        <v>0</v>
      </c>
      <c r="M64" s="21">
        <f>(M55*'Prices and Spreads'!$D$11*'Prices and Spreads'!N$39)</f>
        <v>0</v>
      </c>
      <c r="N64" s="21">
        <f t="shared" si="14"/>
        <v>0</v>
      </c>
    </row>
    <row r="65" spans="1:14" ht="15.75">
      <c r="A65" s="18" t="s">
        <v>12</v>
      </c>
      <c r="B65" s="21">
        <f aca="true" t="shared" si="16" ref="B65:M65">SUM(B58:B64)</f>
        <v>199374.7882578136</v>
      </c>
      <c r="C65" s="21">
        <f t="shared" si="16"/>
        <v>204763.7392890029</v>
      </c>
      <c r="D65" s="21">
        <f t="shared" si="16"/>
        <v>200004.3225148731</v>
      </c>
      <c r="E65" s="21">
        <f t="shared" si="16"/>
        <v>187451.06172149963</v>
      </c>
      <c r="F65" s="21">
        <f t="shared" si="16"/>
        <v>190404.88091058892</v>
      </c>
      <c r="G65" s="21">
        <f t="shared" si="16"/>
        <v>196231.0978909654</v>
      </c>
      <c r="H65" s="21">
        <f t="shared" si="16"/>
        <v>199225.62777895585</v>
      </c>
      <c r="I65" s="21">
        <f t="shared" si="16"/>
        <v>206996.92739123953</v>
      </c>
      <c r="J65" s="21">
        <f t="shared" si="16"/>
        <v>182785.49818530362</v>
      </c>
      <c r="K65" s="21">
        <f t="shared" si="16"/>
        <v>193985.83722662437</v>
      </c>
      <c r="L65" s="21">
        <f t="shared" si="16"/>
        <v>190607.534344293</v>
      </c>
      <c r="M65" s="21">
        <f t="shared" si="16"/>
        <v>194077.69342882215</v>
      </c>
      <c r="N65" s="21">
        <f t="shared" si="14"/>
        <v>2345909.008939982</v>
      </c>
    </row>
    <row r="67" spans="1:4" ht="15.75">
      <c r="A67" s="18" t="s">
        <v>55</v>
      </c>
      <c r="D67" s="18" t="s">
        <v>70</v>
      </c>
    </row>
    <row r="69" spans="1:14" s="18" customFormat="1" ht="15.75">
      <c r="A69" s="18" t="s">
        <v>57</v>
      </c>
      <c r="B69" s="19">
        <f>'Monthly Cash Flow'!B111</f>
        <v>39449</v>
      </c>
      <c r="C69" s="19">
        <f>'Monthly Cash Flow'!C111</f>
        <v>39480</v>
      </c>
      <c r="D69" s="19">
        <f>'Monthly Cash Flow'!D111</f>
        <v>39509</v>
      </c>
      <c r="E69" s="19">
        <f>'Monthly Cash Flow'!E111</f>
        <v>39540</v>
      </c>
      <c r="F69" s="19">
        <f>'Monthly Cash Flow'!F111</f>
        <v>39570</v>
      </c>
      <c r="G69" s="19">
        <f>'Monthly Cash Flow'!G111</f>
        <v>39601</v>
      </c>
      <c r="H69" s="19">
        <f>'Monthly Cash Flow'!H111</f>
        <v>39631</v>
      </c>
      <c r="I69" s="19">
        <f>'Monthly Cash Flow'!I111</f>
        <v>39662</v>
      </c>
      <c r="J69" s="19">
        <f>'Monthly Cash Flow'!J111</f>
        <v>39693</v>
      </c>
      <c r="K69" s="19">
        <f>'Monthly Cash Flow'!K111</f>
        <v>39723</v>
      </c>
      <c r="L69" s="19">
        <f>'Monthly Cash Flow'!L111</f>
        <v>39754</v>
      </c>
      <c r="M69" s="19">
        <f>'Monthly Cash Flow'!M111</f>
        <v>39784</v>
      </c>
      <c r="N69" s="19" t="str">
        <f>'Monthly Cash Flow'!N111</f>
        <v>Year</v>
      </c>
    </row>
    <row r="70" ht="15.75">
      <c r="A70" s="2" t="s">
        <v>58</v>
      </c>
    </row>
    <row r="71" spans="1:14" ht="15.75">
      <c r="A71" s="2" t="s">
        <v>59</v>
      </c>
      <c r="B71" s="80">
        <f>M43+B$4-$H4</f>
        <v>2600</v>
      </c>
      <c r="C71" s="80">
        <f>B71+C$4-I$4</f>
        <v>2600</v>
      </c>
      <c r="D71" s="80">
        <f>C71+D$4-J$4</f>
        <v>2600</v>
      </c>
      <c r="E71" s="80">
        <f>D71+E$4-K$4</f>
        <v>2400</v>
      </c>
      <c r="F71" s="80">
        <f>E71+F$4-L$4</f>
        <v>2400</v>
      </c>
      <c r="G71" s="80">
        <f>F71+G$4-M$4</f>
        <v>2400</v>
      </c>
      <c r="H71" s="80">
        <f aca="true" t="shared" si="17" ref="H71:M71">G71+H$4-B$4</f>
        <v>2400</v>
      </c>
      <c r="I71" s="80">
        <f t="shared" si="17"/>
        <v>2400</v>
      </c>
      <c r="J71" s="80">
        <f t="shared" si="17"/>
        <v>2400</v>
      </c>
      <c r="K71" s="80">
        <f t="shared" si="17"/>
        <v>2600</v>
      </c>
      <c r="L71" s="80">
        <f t="shared" si="17"/>
        <v>2600</v>
      </c>
      <c r="M71" s="80">
        <f t="shared" si="17"/>
        <v>2600</v>
      </c>
      <c r="N71" s="21">
        <f>AVERAGE(B71:M71)</f>
        <v>2500</v>
      </c>
    </row>
    <row r="72" spans="1:14" ht="15.75">
      <c r="A72" s="2" t="s">
        <v>60</v>
      </c>
      <c r="B72" s="80">
        <f>M44+B$5-H$5</f>
        <v>2800</v>
      </c>
      <c r="C72" s="80">
        <f>B72+C$5-I$5</f>
        <v>2800</v>
      </c>
      <c r="D72" s="80">
        <f>C72+D$5-J$5</f>
        <v>2600</v>
      </c>
      <c r="E72" s="80">
        <f>D72+E$5-K$5</f>
        <v>2400</v>
      </c>
      <c r="F72" s="80">
        <f>E72+F$5-L$5</f>
        <v>2400</v>
      </c>
      <c r="G72" s="80">
        <f>F72+G$5-M$5</f>
        <v>2400</v>
      </c>
      <c r="H72" s="80">
        <f aca="true" t="shared" si="18" ref="H72:M72">G72+H$5-B$5</f>
        <v>2400</v>
      </c>
      <c r="I72" s="80">
        <f t="shared" si="18"/>
        <v>2400</v>
      </c>
      <c r="J72" s="80">
        <f t="shared" si="18"/>
        <v>2600</v>
      </c>
      <c r="K72" s="80">
        <f t="shared" si="18"/>
        <v>2800</v>
      </c>
      <c r="L72" s="80">
        <f t="shared" si="18"/>
        <v>2800</v>
      </c>
      <c r="M72" s="80">
        <f t="shared" si="18"/>
        <v>2800</v>
      </c>
      <c r="N72" s="21">
        <f>AVERAGE(B72:M72)</f>
        <v>2600</v>
      </c>
    </row>
    <row r="73" spans="1:14" ht="15.75">
      <c r="A73" s="2" t="s">
        <v>12</v>
      </c>
      <c r="B73" s="2">
        <f aca="true" t="shared" si="19" ref="B73:N73">B71+B72</f>
        <v>5400</v>
      </c>
      <c r="C73" s="2">
        <f t="shared" si="19"/>
        <v>5400</v>
      </c>
      <c r="D73" s="2">
        <f t="shared" si="19"/>
        <v>5200</v>
      </c>
      <c r="E73" s="2">
        <f t="shared" si="19"/>
        <v>4800</v>
      </c>
      <c r="F73" s="2">
        <f t="shared" si="19"/>
        <v>4800</v>
      </c>
      <c r="G73" s="2">
        <f t="shared" si="19"/>
        <v>4800</v>
      </c>
      <c r="H73" s="2">
        <f t="shared" si="19"/>
        <v>4800</v>
      </c>
      <c r="I73" s="2">
        <f t="shared" si="19"/>
        <v>4800</v>
      </c>
      <c r="J73" s="2">
        <f t="shared" si="19"/>
        <v>5000</v>
      </c>
      <c r="K73" s="2">
        <f t="shared" si="19"/>
        <v>5400</v>
      </c>
      <c r="L73" s="2">
        <f t="shared" si="19"/>
        <v>5400</v>
      </c>
      <c r="M73" s="2">
        <f t="shared" si="19"/>
        <v>5400</v>
      </c>
      <c r="N73" s="22">
        <f t="shared" si="19"/>
        <v>5100</v>
      </c>
    </row>
    <row r="74" spans="1:14" ht="15.75">
      <c r="A74" s="2" t="s">
        <v>61</v>
      </c>
      <c r="B74" s="23">
        <f>B73/Inputs!$G$11</f>
        <v>0.9642857142857143</v>
      </c>
      <c r="C74" s="23">
        <f>C73/Inputs!$G$11</f>
        <v>0.9642857142857143</v>
      </c>
      <c r="D74" s="23">
        <f>D73/Inputs!$G$11</f>
        <v>0.9285714285714286</v>
      </c>
      <c r="E74" s="23">
        <f>E73/Inputs!$G$11</f>
        <v>0.8571428571428571</v>
      </c>
      <c r="F74" s="23">
        <f>F73/Inputs!$G$11</f>
        <v>0.8571428571428571</v>
      </c>
      <c r="G74" s="23">
        <f>G73/Inputs!$G$11</f>
        <v>0.8571428571428571</v>
      </c>
      <c r="H74" s="23">
        <f>H73/Inputs!$G$11</f>
        <v>0.8571428571428571</v>
      </c>
      <c r="I74" s="23">
        <f>I73/Inputs!$G$11</f>
        <v>0.8571428571428571</v>
      </c>
      <c r="J74" s="23">
        <f>J73/Inputs!$G$11</f>
        <v>0.8928571428571429</v>
      </c>
      <c r="K74" s="23">
        <f>K73/Inputs!$G$11</f>
        <v>0.9642857142857143</v>
      </c>
      <c r="L74" s="23">
        <f>L73/Inputs!$G$11</f>
        <v>0.9642857142857143</v>
      </c>
      <c r="M74" s="23">
        <f>M73/Inputs!$G$11</f>
        <v>0.9642857142857143</v>
      </c>
      <c r="N74" s="23">
        <f>(N71+N72)/Inputs!$G$11</f>
        <v>0.9107142857142857</v>
      </c>
    </row>
    <row r="76" ht="15.75">
      <c r="A76" s="18" t="s">
        <v>62</v>
      </c>
    </row>
    <row r="77" spans="1:14" ht="15.75">
      <c r="A77" s="4" t="str">
        <f>A58</f>
        <v>  Corn (bu)</v>
      </c>
      <c r="B77" s="21">
        <f>(B$71*'Diets and Performance'!$C$21/'Diets and Performance'!$C$9+B$72*'Diets and Performance'!$D$21/'Diets and Performance'!$D$9)*31</f>
        <v>32691.94094490666</v>
      </c>
      <c r="C77" s="21">
        <f>(C$71*'Diets and Performance'!$C$21/'Diets and Performance'!$C$9+C$72*'Diets and Performance'!$D$21/'Diets and Performance'!$D$9)*31</f>
        <v>32691.94094490666</v>
      </c>
      <c r="D77" s="21">
        <f>(D$71*'Diets and Performance'!$C$21/'Diets and Performance'!$C$9+D$72*'Diets and Performance'!$D$21/'Diets and Performance'!$D$9)*31</f>
        <v>31393.004358867696</v>
      </c>
      <c r="E77" s="21">
        <f>(E$71*'Diets and Performance'!$C$21/'Diets and Performance'!$C$9+E$72*'Diets and Performance'!$D$21/'Diets and Performance'!$D$9)*31</f>
        <v>28978.157869724026</v>
      </c>
      <c r="F77" s="21">
        <f>(F$71*'Diets and Performance'!$C$21/'Diets and Performance'!$C$9+F$72*'Diets and Performance'!$D$21/'Diets and Performance'!$D$9)*31</f>
        <v>28978.157869724026</v>
      </c>
      <c r="G77" s="21">
        <f>(G$71*'Diets and Performance'!$C$21/'Diets and Performance'!$C$9+G$72*'Diets and Performance'!$D$21/'Diets and Performance'!$D$9)*31</f>
        <v>28978.157869724026</v>
      </c>
      <c r="H77" s="21">
        <f>(H$71*'Diets and Performance'!$C$21/'Diets and Performance'!$C$9+H$72*'Diets and Performance'!$D$21/'Diets and Performance'!$D$9)*31</f>
        <v>28978.157869724026</v>
      </c>
      <c r="I77" s="21">
        <f>(I$71*'Diets and Performance'!$C$21/'Diets and Performance'!$C$9+I$72*'Diets and Performance'!$D$21/'Diets and Performance'!$D$9)*31</f>
        <v>28978.157869724026</v>
      </c>
      <c r="J77" s="21">
        <f>(J$71*'Diets and Performance'!$C$21/'Diets and Performance'!$C$9+J$72*'Diets and Performance'!$D$21/'Diets and Performance'!$D$9)*31</f>
        <v>30277.09445576299</v>
      </c>
      <c r="K77" s="21">
        <f>(K$71*'Diets and Performance'!$C$21/'Diets and Performance'!$C$9+K$72*'Diets and Performance'!$D$21/'Diets and Performance'!$D$9)*31</f>
        <v>32691.94094490666</v>
      </c>
      <c r="L77" s="21">
        <f>(L$71*'Diets and Performance'!$C$21/'Diets and Performance'!$C$9+L$72*'Diets and Performance'!$D$21/'Diets and Performance'!$D$9)*31</f>
        <v>32691.94094490666</v>
      </c>
      <c r="M77" s="21">
        <f>(M$71*'Diets and Performance'!$C$21/'Diets and Performance'!$C$9+M$72*'Diets and Performance'!$D$21/'Diets and Performance'!$D$9)*31</f>
        <v>32691.94094490666</v>
      </c>
      <c r="N77" s="21">
        <f aca="true" t="shared" si="20" ref="N77:N83">AVERAGE(B77:M77)</f>
        <v>30835.04940731535</v>
      </c>
    </row>
    <row r="78" spans="1:14" ht="15.75">
      <c r="A78" s="4" t="str">
        <f aca="true" t="shared" si="21" ref="A78:A83">A59</f>
        <v>  WDGS (T)</v>
      </c>
      <c r="B78" s="21">
        <f>(B$71*'Diets and Performance'!$C$22/'Diets and Performance'!$C$9+B$72*'Diets and Performance'!$D$22/'Diets and Performance'!$D$9)*31</f>
        <v>1741.4405</v>
      </c>
      <c r="C78" s="21">
        <f>(C$71*'Diets and Performance'!$C$22/'Diets and Performance'!$C$9+C$72*'Diets and Performance'!$D$22/'Diets and Performance'!$D$9)*31</f>
        <v>1741.4405</v>
      </c>
      <c r="D78" s="21">
        <f>(D$71*'Diets and Performance'!$C$22/'Diets and Performance'!$C$9+D$72*'Diets and Performance'!$D$22/'Diets and Performance'!$D$9)*31</f>
        <v>1672.2485</v>
      </c>
      <c r="E78" s="21">
        <f>(E$71*'Diets and Performance'!$C$22/'Diets and Performance'!$C$9+E$72*'Diets and Performance'!$D$22/'Diets and Performance'!$D$9)*31</f>
        <v>1543.6139999999998</v>
      </c>
      <c r="F78" s="21">
        <f>(F$71*'Diets and Performance'!$C$22/'Diets and Performance'!$C$9+F$72*'Diets and Performance'!$D$22/'Diets and Performance'!$D$9)*31</f>
        <v>1543.6139999999998</v>
      </c>
      <c r="G78" s="21">
        <f>(G$71*'Diets and Performance'!$C$22/'Diets and Performance'!$C$9+G$72*'Diets and Performance'!$D$22/'Diets and Performance'!$D$9)*31</f>
        <v>1543.6139999999998</v>
      </c>
      <c r="H78" s="21">
        <f>(H$71*'Diets and Performance'!$C$22/'Diets and Performance'!$C$9+H$72*'Diets and Performance'!$D$22/'Diets and Performance'!$D$9)*31</f>
        <v>1543.6139999999998</v>
      </c>
      <c r="I78" s="21">
        <f>(I$71*'Diets and Performance'!$C$22/'Diets and Performance'!$C$9+I$72*'Diets and Performance'!$D$22/'Diets and Performance'!$D$9)*31</f>
        <v>1543.6139999999998</v>
      </c>
      <c r="J78" s="21">
        <f>(J$71*'Diets and Performance'!$C$22/'Diets and Performance'!$C$9+J$72*'Diets and Performance'!$D$22/'Diets and Performance'!$D$9)*31</f>
        <v>1612.8059999999998</v>
      </c>
      <c r="K78" s="21">
        <f>(K$71*'Diets and Performance'!$C$22/'Diets and Performance'!$C$9+K$72*'Diets and Performance'!$D$22/'Diets and Performance'!$D$9)*31</f>
        <v>1741.4405</v>
      </c>
      <c r="L78" s="21">
        <f>(L$71*'Diets and Performance'!$C$22/'Diets and Performance'!$C$9+L$72*'Diets and Performance'!$D$22/'Diets and Performance'!$D$9)*31</f>
        <v>1741.4405</v>
      </c>
      <c r="M78" s="21">
        <f>(M$71*'Diets and Performance'!$C$22/'Diets and Performance'!$C$9+M$72*'Diets and Performance'!$D$22/'Diets and Performance'!$D$9)*31</f>
        <v>1741.4405</v>
      </c>
      <c r="N78" s="21">
        <f t="shared" si="20"/>
        <v>1642.52725</v>
      </c>
    </row>
    <row r="79" spans="1:14" ht="15.75">
      <c r="A79" s="4" t="str">
        <f t="shared" si="21"/>
        <v>  Mixed hay (ton)</v>
      </c>
      <c r="B79" s="21">
        <f>(B$71*'Diets and Performance'!$C$23/'Diets and Performance'!$C$9+B$72*'Diets and Performance'!$D$23/'Diets and Performance'!$D$9)*31</f>
        <v>76.54683516483517</v>
      </c>
      <c r="C79" s="21">
        <f>(C$71*'Diets and Performance'!$C$23/'Diets and Performance'!$C$9+C$72*'Diets and Performance'!$D$23/'Diets and Performance'!$D$9)*31</f>
        <v>76.54683516483517</v>
      </c>
      <c r="D79" s="21">
        <f>(D$71*'Diets and Performance'!$C$23/'Diets and Performance'!$C$9+D$72*'Diets and Performance'!$D$23/'Diets and Performance'!$D$9)*31</f>
        <v>73.50542857142858</v>
      </c>
      <c r="E79" s="21">
        <f>(E$71*'Diets and Performance'!$C$23/'Diets and Performance'!$C$9+E$72*'Diets and Performance'!$D$23/'Diets and Performance'!$D$9)*31</f>
        <v>67.85116483516484</v>
      </c>
      <c r="F79" s="21">
        <f>(F$71*'Diets and Performance'!$C$23/'Diets and Performance'!$C$9+F$72*'Diets and Performance'!$D$23/'Diets and Performance'!$D$9)*31</f>
        <v>67.85116483516484</v>
      </c>
      <c r="G79" s="21">
        <f>(G$71*'Diets and Performance'!$C$23/'Diets and Performance'!$C$9+G$72*'Diets and Performance'!$D$23/'Diets and Performance'!$D$9)*31</f>
        <v>67.85116483516484</v>
      </c>
      <c r="H79" s="21">
        <f>(H$71*'Diets and Performance'!$C$23/'Diets and Performance'!$C$9+H$72*'Diets and Performance'!$D$23/'Diets and Performance'!$D$9)*31</f>
        <v>67.85116483516484</v>
      </c>
      <c r="I79" s="21">
        <f>(I$71*'Diets and Performance'!$C$23/'Diets and Performance'!$C$9+I$72*'Diets and Performance'!$D$23/'Diets and Performance'!$D$9)*31</f>
        <v>67.85116483516484</v>
      </c>
      <c r="J79" s="21">
        <f>(J$71*'Diets and Performance'!$C$23/'Diets and Performance'!$C$9+J$72*'Diets and Performance'!$D$23/'Diets and Performance'!$D$9)*31</f>
        <v>70.89257142857144</v>
      </c>
      <c r="K79" s="21">
        <f>(K$71*'Diets and Performance'!$C$23/'Diets and Performance'!$C$9+K$72*'Diets and Performance'!$D$23/'Diets and Performance'!$D$9)*31</f>
        <v>76.54683516483517</v>
      </c>
      <c r="L79" s="21">
        <f>(L$71*'Diets and Performance'!$C$23/'Diets and Performance'!$C$9+L$72*'Diets and Performance'!$D$23/'Diets and Performance'!$D$9)*31</f>
        <v>76.54683516483517</v>
      </c>
      <c r="M79" s="21">
        <f>(M$71*'Diets and Performance'!$C$23/'Diets and Performance'!$C$9+M$72*'Diets and Performance'!$D$23/'Diets and Performance'!$D$9)*31</f>
        <v>76.54683516483517</v>
      </c>
      <c r="N79" s="21">
        <f t="shared" si="20"/>
        <v>72.199</v>
      </c>
    </row>
    <row r="80" spans="1:14" ht="15.75">
      <c r="A80" s="4" t="str">
        <f t="shared" si="21"/>
        <v>  Corn Silage (ton)</v>
      </c>
      <c r="B80" s="21">
        <f>(B$71*'Diets and Performance'!$C$24/'Diets and Performance'!$C$9+B$72*'Diets and Performance'!$D$24/'Diets and Performance'!$D$9)*31</f>
        <v>366.619052631579</v>
      </c>
      <c r="C80" s="21">
        <f>(C$71*'Diets and Performance'!$C$24/'Diets and Performance'!$C$9+C$72*'Diets and Performance'!$D$24/'Diets and Performance'!$D$9)*31</f>
        <v>366.619052631579</v>
      </c>
      <c r="D80" s="21">
        <f>(D$71*'Diets and Performance'!$C$24/'Diets and Performance'!$C$9+D$72*'Diets and Performance'!$D$24/'Diets and Performance'!$D$9)*31</f>
        <v>352.0523157894737</v>
      </c>
      <c r="E80" s="21">
        <f>(E$71*'Diets and Performance'!$C$24/'Diets and Performance'!$C$9+E$72*'Diets and Performance'!$D$24/'Diets and Performance'!$D$9)*31</f>
        <v>324.9713684210527</v>
      </c>
      <c r="F80" s="21">
        <f>(F$71*'Diets and Performance'!$C$24/'Diets and Performance'!$C$9+F$72*'Diets and Performance'!$D$24/'Diets and Performance'!$D$9)*31</f>
        <v>324.9713684210527</v>
      </c>
      <c r="G80" s="21">
        <f>(G$71*'Diets and Performance'!$C$24/'Diets and Performance'!$C$9+G$72*'Diets and Performance'!$D$24/'Diets and Performance'!$D$9)*31</f>
        <v>324.9713684210527</v>
      </c>
      <c r="H80" s="21">
        <f>(H$71*'Diets and Performance'!$C$24/'Diets and Performance'!$C$9+H$72*'Diets and Performance'!$D$24/'Diets and Performance'!$D$9)*31</f>
        <v>324.9713684210527</v>
      </c>
      <c r="I80" s="21">
        <f>(I$71*'Diets and Performance'!$C$24/'Diets and Performance'!$C$9+I$72*'Diets and Performance'!$D$24/'Diets and Performance'!$D$9)*31</f>
        <v>324.9713684210527</v>
      </c>
      <c r="J80" s="21">
        <f>(J$71*'Diets and Performance'!$C$24/'Diets and Performance'!$C$9+J$72*'Diets and Performance'!$D$24/'Diets and Performance'!$D$9)*31</f>
        <v>339.53810526315795</v>
      </c>
      <c r="K80" s="21">
        <f>(K$71*'Diets and Performance'!$C$24/'Diets and Performance'!$C$9+K$72*'Diets and Performance'!$D$24/'Diets and Performance'!$D$9)*31</f>
        <v>366.619052631579</v>
      </c>
      <c r="L80" s="21">
        <f>(L$71*'Diets and Performance'!$C$24/'Diets and Performance'!$C$9+L$72*'Diets and Performance'!$D$24/'Diets and Performance'!$D$9)*31</f>
        <v>366.619052631579</v>
      </c>
      <c r="M80" s="21">
        <f>(M$71*'Diets and Performance'!$C$24/'Diets and Performance'!$C$9+M$72*'Diets and Performance'!$D$24/'Diets and Performance'!$D$9)*31</f>
        <v>366.619052631579</v>
      </c>
      <c r="N80" s="21">
        <f t="shared" si="20"/>
        <v>345.7952105263159</v>
      </c>
    </row>
    <row r="81" spans="1:14" ht="15.75">
      <c r="A81" s="4" t="str">
        <f t="shared" si="21"/>
        <v>  Other Feed (ton)</v>
      </c>
      <c r="B81" s="21">
        <f>(B$71*'Diets and Performance'!$C$25/'Diets and Performance'!$C$9+B$72*'Diets and Performance'!$D$25/'Diets and Performance'!$D$9)*31</f>
        <v>0</v>
      </c>
      <c r="C81" s="21">
        <f>(C$71*'Diets and Performance'!$C$25/'Diets and Performance'!$C$9+C$72*'Diets and Performance'!$D$25/'Diets and Performance'!$D$9)*31</f>
        <v>0</v>
      </c>
      <c r="D81" s="21">
        <f>(D$71*'Diets and Performance'!$C$25/'Diets and Performance'!$C$9+D$72*'Diets and Performance'!$D$25/'Diets and Performance'!$D$9)*31</f>
        <v>0</v>
      </c>
      <c r="E81" s="21">
        <f>(E$71*'Diets and Performance'!$C$25/'Diets and Performance'!$C$9+E$72*'Diets and Performance'!$D$25/'Diets and Performance'!$D$9)*31</f>
        <v>0</v>
      </c>
      <c r="F81" s="21">
        <f>(F$71*'Diets and Performance'!$C$25/'Diets and Performance'!$C$9+F$72*'Diets and Performance'!$D$25/'Diets and Performance'!$D$9)*31</f>
        <v>0</v>
      </c>
      <c r="G81" s="21">
        <f>(G$71*'Diets and Performance'!$C$25/'Diets and Performance'!$C$9+G$72*'Diets and Performance'!$D$25/'Diets and Performance'!$D$9)*31</f>
        <v>0</v>
      </c>
      <c r="H81" s="21">
        <f>(H$71*'Diets and Performance'!$C$25/'Diets and Performance'!$C$9+H$72*'Diets and Performance'!$D$25/'Diets and Performance'!$D$9)*31</f>
        <v>0</v>
      </c>
      <c r="I81" s="21">
        <f>(I$71*'Diets and Performance'!$C$25/'Diets and Performance'!$C$9+I$72*'Diets and Performance'!$D$25/'Diets and Performance'!$D$9)*31</f>
        <v>0</v>
      </c>
      <c r="J81" s="21">
        <f>(J$71*'Diets and Performance'!$C$25/'Diets and Performance'!$C$9+J$72*'Diets and Performance'!$D$25/'Diets and Performance'!$D$9)*31</f>
        <v>0</v>
      </c>
      <c r="K81" s="21">
        <f>(K$71*'Diets and Performance'!$C$25/'Diets and Performance'!$C$9+K$72*'Diets and Performance'!$D$25/'Diets and Performance'!$D$9)*31</f>
        <v>0</v>
      </c>
      <c r="L81" s="21">
        <f>(L$71*'Diets and Performance'!$C$25/'Diets and Performance'!$C$9+L$72*'Diets and Performance'!$D$25/'Diets and Performance'!$D$9)*31</f>
        <v>0</v>
      </c>
      <c r="M81" s="21">
        <f>(M$71*'Diets and Performance'!$C$25/'Diets and Performance'!$C$9+M$72*'Diets and Performance'!$D$25/'Diets and Performance'!$D$9)*31</f>
        <v>0</v>
      </c>
      <c r="N81" s="21">
        <f t="shared" si="20"/>
        <v>0</v>
      </c>
    </row>
    <row r="82" spans="1:14" ht="15.75">
      <c r="A82" s="4" t="str">
        <f t="shared" si="21"/>
        <v>  Natural Sup (cwt)</v>
      </c>
      <c r="B82" s="21">
        <f>(B$71*'Diets and Performance'!$C$27/'Diets and Performance'!$C$9+B$72*'Diets and Performance'!$D$27/'Diets and Performance'!$D$9)*31</f>
        <v>607.2403023500001</v>
      </c>
      <c r="C82" s="21">
        <f>(C$71*'Diets and Performance'!$C$27/'Diets and Performance'!$C$9+C$72*'Diets and Performance'!$D$27/'Diets and Performance'!$D$9)*31</f>
        <v>607.2403023500001</v>
      </c>
      <c r="D82" s="21">
        <f>(D$71*'Diets and Performance'!$C$27/'Diets and Performance'!$C$9+D$72*'Diets and Performance'!$D$27/'Diets and Performance'!$D$9)*31</f>
        <v>583.11305195</v>
      </c>
      <c r="E82" s="21">
        <f>(E$71*'Diets and Performance'!$C$27/'Diets and Performance'!$C$9+E$72*'Diets and Performance'!$D$27/'Diets and Performance'!$D$9)*31</f>
        <v>538.2582018</v>
      </c>
      <c r="F82" s="21">
        <f>(F$71*'Diets and Performance'!$C$27/'Diets and Performance'!$C$9+F$72*'Diets and Performance'!$D$27/'Diets and Performance'!$D$9)*31</f>
        <v>538.2582018</v>
      </c>
      <c r="G82" s="21">
        <f>(G$71*'Diets and Performance'!$C$27/'Diets and Performance'!$C$9+G$72*'Diets and Performance'!$D$27/'Diets and Performance'!$D$9)*31</f>
        <v>538.2582018</v>
      </c>
      <c r="H82" s="21">
        <f>(H$71*'Diets and Performance'!$C$27/'Diets and Performance'!$C$9+H$72*'Diets and Performance'!$D$27/'Diets and Performance'!$D$9)*31</f>
        <v>538.2582018</v>
      </c>
      <c r="I82" s="21">
        <f>(I$71*'Diets and Performance'!$C$27/'Diets and Performance'!$C$9+I$72*'Diets and Performance'!$D$27/'Diets and Performance'!$D$9)*31</f>
        <v>538.2582018</v>
      </c>
      <c r="J82" s="21">
        <f>(J$71*'Diets and Performance'!$C$27/'Diets and Performance'!$C$9+J$72*'Diets and Performance'!$D$27/'Diets and Performance'!$D$9)*31</f>
        <v>562.3854522000001</v>
      </c>
      <c r="K82" s="21">
        <f>(K$71*'Diets and Performance'!$C$27/'Diets and Performance'!$C$9+K$72*'Diets and Performance'!$D$27/'Diets and Performance'!$D$9)*31</f>
        <v>607.2403023500001</v>
      </c>
      <c r="L82" s="21">
        <f>(L$71*'Diets and Performance'!$C$27/'Diets and Performance'!$C$9+L$72*'Diets and Performance'!$D$27/'Diets and Performance'!$D$9)*31</f>
        <v>607.2403023500001</v>
      </c>
      <c r="M82" s="21">
        <f>(M$71*'Diets and Performance'!$C$27/'Diets and Performance'!$C$9+M$72*'Diets and Performance'!$D$27/'Diets and Performance'!$D$9)*31</f>
        <v>607.2403023500001</v>
      </c>
      <c r="N82" s="21">
        <f t="shared" si="20"/>
        <v>572.7492520750001</v>
      </c>
    </row>
    <row r="83" spans="1:14" ht="15.75">
      <c r="A83" s="4" t="str">
        <f t="shared" si="21"/>
        <v>  Vit&amp;Min Suppl (cwt)</v>
      </c>
      <c r="B83" s="21">
        <f>(B$71*'Diets and Performance'!$C$28/'Diets and Performance'!$C$9+B$72*'Diets and Performance'!$D$28/'Diets and Performance'!$D$9)*31</f>
        <v>0</v>
      </c>
      <c r="C83" s="21">
        <f>(C$71*'Diets and Performance'!$C$28/'Diets and Performance'!$C$9+C$72*'Diets and Performance'!$D$28/'Diets and Performance'!$D$9)*31</f>
        <v>0</v>
      </c>
      <c r="D83" s="21">
        <f>(D$71*'Diets and Performance'!$C$28/'Diets and Performance'!$C$9+D$72*'Diets and Performance'!$D$28/'Diets and Performance'!$D$9)*31</f>
        <v>0</v>
      </c>
      <c r="E83" s="21">
        <f>(E$71*'Diets and Performance'!$C$28/'Diets and Performance'!$C$9+E$72*'Diets and Performance'!$D$28/'Diets and Performance'!$D$9)*31</f>
        <v>0</v>
      </c>
      <c r="F83" s="21">
        <f>(F$71*'Diets and Performance'!$C$28/'Diets and Performance'!$C$9+F$72*'Diets and Performance'!$D$28/'Diets and Performance'!$D$9)*31</f>
        <v>0</v>
      </c>
      <c r="G83" s="21">
        <f>(G$71*'Diets and Performance'!$C$28/'Diets and Performance'!$C$9+G$72*'Diets and Performance'!$D$28/'Diets and Performance'!$D$9)*31</f>
        <v>0</v>
      </c>
      <c r="H83" s="21">
        <f>(H$71*'Diets and Performance'!$C$28/'Diets and Performance'!$C$9+H$72*'Diets and Performance'!$D$28/'Diets and Performance'!$D$9)*31</f>
        <v>0</v>
      </c>
      <c r="I83" s="21">
        <f>(I$71*'Diets and Performance'!$C$28/'Diets and Performance'!$C$9+I$72*'Diets and Performance'!$D$28/'Diets and Performance'!$D$9)*31</f>
        <v>0</v>
      </c>
      <c r="J83" s="21">
        <f>(J$71*'Diets and Performance'!$C$28/'Diets and Performance'!$C$9+J$72*'Diets and Performance'!$D$28/'Diets and Performance'!$D$9)*31</f>
        <v>0</v>
      </c>
      <c r="K83" s="21">
        <f>(K$71*'Diets and Performance'!$C$28/'Diets and Performance'!$C$9+K$72*'Diets and Performance'!$D$28/'Diets and Performance'!$D$9)*31</f>
        <v>0</v>
      </c>
      <c r="L83" s="21">
        <f>(L$71*'Diets and Performance'!$C$28/'Diets and Performance'!$C$9+L$72*'Diets and Performance'!$D$28/'Diets and Performance'!$D$9)*31</f>
        <v>0</v>
      </c>
      <c r="M83" s="21">
        <f>(M$71*'Diets and Performance'!$C$28/'Diets and Performance'!$C$9+M$72*'Diets and Performance'!$D$28/'Diets and Performance'!$D$9)*31</f>
        <v>0</v>
      </c>
      <c r="N83" s="21">
        <f t="shared" si="20"/>
        <v>0</v>
      </c>
    </row>
    <row r="85" ht="15.75">
      <c r="A85" s="18" t="s">
        <v>67</v>
      </c>
    </row>
    <row r="86" spans="1:14" ht="15.75">
      <c r="A86" s="4" t="str">
        <f>A77</f>
        <v>  Corn (bu)</v>
      </c>
      <c r="B86" s="21">
        <f>(B77*'Prices and Spreads'!$D$5*'Prices and Spreads'!C$34)</f>
        <v>97830.63327763317</v>
      </c>
      <c r="C86" s="21">
        <f>(C77*'Prices and Spreads'!$D$5*'Prices and Spreads'!D$34)</f>
        <v>100920.02169692685</v>
      </c>
      <c r="D86" s="21">
        <f>(D77*'Prices and Spreads'!$D$5*'Prices and Spreads'!E$34)</f>
        <v>98887.96373043324</v>
      </c>
      <c r="E86" s="21">
        <f>(E77*'Prices and Spreads'!$D$5*'Prices and Spreads'!F$34)</f>
        <v>93106.8212354233</v>
      </c>
      <c r="F86" s="21">
        <f>(F77*'Prices and Spreads'!$D$5*'Prices and Spreads'!G$34)</f>
        <v>94932.44518121591</v>
      </c>
      <c r="G86" s="21">
        <f>(G77*'Prices and Spreads'!$D$5*'Prices and Spreads'!H$34)</f>
        <v>98583.69307280115</v>
      </c>
      <c r="H86" s="21">
        <f>(H77*'Prices and Spreads'!$D$5*'Prices and Spreads'!I$34)</f>
        <v>100409.31701859376</v>
      </c>
      <c r="I86" s="21">
        <f>(I77*'Prices and Spreads'!$D$5*'Prices and Spreads'!J$34)</f>
        <v>104973.37688307528</v>
      </c>
      <c r="J86" s="21">
        <f>(J77*'Prices and Spreads'!$D$5*'Prices and Spreads'!K$34)</f>
        <v>89650.47668351419</v>
      </c>
      <c r="K86" s="21">
        <f>(K77*'Prices and Spreads'!$D$5*'Prices and Spreads'!L$33)</f>
        <v>94741.2448583395</v>
      </c>
      <c r="L86" s="21">
        <f>(L77*'Prices and Spreads'!$D$5*'Prices and Spreads'!M$33)</f>
        <v>92681.65257881038</v>
      </c>
      <c r="M86" s="21">
        <f>(M77*'Prices and Spreads'!$D$5*'Prices and Spreads'!N$33)</f>
        <v>94741.2448583395</v>
      </c>
      <c r="N86" s="21">
        <f aca="true" t="shared" si="22" ref="N86:N93">SUM(B86:M86)</f>
        <v>1161458.891075106</v>
      </c>
    </row>
    <row r="87" spans="1:14" ht="15.75">
      <c r="A87" s="4" t="str">
        <f aca="true" t="shared" si="23" ref="A87:A92">A78</f>
        <v>  WDGS (T)</v>
      </c>
      <c r="B87" s="21">
        <f>(B78*'Prices and Spreads'!$D$6*'Prices and Spreads'!C$35)</f>
        <v>67001.92323749998</v>
      </c>
      <c r="C87" s="21">
        <f>(C78*'Prices and Spreads'!$D$6*'Prices and Spreads'!D$35)</f>
        <v>69117.773445</v>
      </c>
      <c r="D87" s="21">
        <f>(D78*'Prices and Spreads'!$D$6*'Prices and Spreads'!E$35)</f>
        <v>67726.06425</v>
      </c>
      <c r="E87" s="21">
        <f>(E78*'Prices and Spreads'!$D$6*'Prices and Spreads'!F$35)</f>
        <v>63766.694339999995</v>
      </c>
      <c r="F87" s="21">
        <f>(F78*'Prices and Spreads'!$D$6*'Prices and Spreads'!G$35)</f>
        <v>65017.02167999999</v>
      </c>
      <c r="G87" s="21">
        <f>(G78*'Prices and Spreads'!$D$6*'Prices and Spreads'!H$35)</f>
        <v>67517.67636</v>
      </c>
      <c r="H87" s="21">
        <f>(H78*'Prices and Spreads'!$D$6*'Prices and Spreads'!I$35)</f>
        <v>68768.0037</v>
      </c>
      <c r="I87" s="21">
        <f>(I78*'Prices and Spreads'!$D$6*'Prices and Spreads'!J$35)</f>
        <v>71893.82204999999</v>
      </c>
      <c r="J87" s="21">
        <f>(J78*'Prices and Spreads'!$D$6*'Prices and Spreads'!K$35)</f>
        <v>61399.52441999999</v>
      </c>
      <c r="K87" s="21">
        <f>(K78*'Prices and Spreads'!$D$6*'Prices and Spreads'!L$34)</f>
        <v>64886.07303</v>
      </c>
      <c r="L87" s="21">
        <f>(L78*'Prices and Spreads'!$D$6*'Prices and Spreads'!M$34)</f>
        <v>63475.506225</v>
      </c>
      <c r="M87" s="21">
        <f>(M78*'Prices and Spreads'!$D$6*'Prices and Spreads'!N$34)</f>
        <v>64886.07303</v>
      </c>
      <c r="N87" s="21">
        <f t="shared" si="22"/>
        <v>795456.1557674999</v>
      </c>
    </row>
    <row r="88" spans="1:14" ht="15.75">
      <c r="A88" s="4" t="str">
        <f t="shared" si="23"/>
        <v>  Mixed hay (ton)</v>
      </c>
      <c r="B88" s="21">
        <f>(B79*'Prices and Spreads'!$D$7*'Prices and Spreads'!C$36)</f>
        <v>4776.522514285715</v>
      </c>
      <c r="C88" s="21">
        <f>(C79*'Prices and Spreads'!$D$7*'Prices and Spreads'!D$36)</f>
        <v>4960.23491868132</v>
      </c>
      <c r="D88" s="21">
        <f>(D79*'Prices and Spreads'!$D$7*'Prices and Spreads'!E$36)</f>
        <v>4807.25502857143</v>
      </c>
      <c r="E88" s="21">
        <f>(E79*'Prices and Spreads'!$D$7*'Prices and Spreads'!F$36)</f>
        <v>4193.201986813187</v>
      </c>
      <c r="F88" s="21">
        <f>(F79*'Prices and Spreads'!$D$7*'Prices and Spreads'!G$36)</f>
        <v>4071.0698901098904</v>
      </c>
      <c r="G88" s="21">
        <f>(G79*'Prices and Spreads'!$D$7*'Prices and Spreads'!H$36)</f>
        <v>3745.384298901099</v>
      </c>
      <c r="H88" s="21">
        <f>(H79*'Prices and Spreads'!$D$7*'Prices and Spreads'!I$36)</f>
        <v>3663.9629010989015</v>
      </c>
      <c r="I88" s="21">
        <f>(I79*'Prices and Spreads'!$D$7*'Prices and Spreads'!J$36)</f>
        <v>3745.384298901099</v>
      </c>
      <c r="J88" s="21">
        <f>(J79*'Prices and Spreads'!$D$7*'Prices and Spreads'!K$36)</f>
        <v>4168.483200000001</v>
      </c>
      <c r="K88" s="21">
        <f>(K79*'Prices and Spreads'!$D$7*'Prices and Spreads'!L$35)</f>
        <v>4592.810109890111</v>
      </c>
      <c r="L88" s="21">
        <f>(L79*'Prices and Spreads'!$D$7*'Prices and Spreads'!M$35)</f>
        <v>4684.666312087913</v>
      </c>
      <c r="M88" s="21">
        <f>(M79*'Prices and Spreads'!$D$7*'Prices and Spreads'!N$35)</f>
        <v>4684.666312087913</v>
      </c>
      <c r="N88" s="21">
        <f t="shared" si="22"/>
        <v>52093.64177142858</v>
      </c>
    </row>
    <row r="89" spans="1:14" ht="15.75">
      <c r="A89" s="4" t="str">
        <f t="shared" si="23"/>
        <v>  Corn Silage (ton)</v>
      </c>
      <c r="B89" s="21">
        <f>(B80*'Prices and Spreads'!$D$8*'Prices and Spreads'!C$37)</f>
        <v>11548.500157894738</v>
      </c>
      <c r="C89" s="21">
        <f>(C80*'Prices and Spreads'!$D$8*'Prices and Spreads'!D$37)</f>
        <v>11548.500157894738</v>
      </c>
      <c r="D89" s="21">
        <f>(D80*'Prices and Spreads'!$D$8*'Prices and Spreads'!E$37)</f>
        <v>11089.647947368421</v>
      </c>
      <c r="E89" s="21">
        <f>(E80*'Prices and Spreads'!$D$8*'Prices and Spreads'!F$37)</f>
        <v>10236.598105263161</v>
      </c>
      <c r="F89" s="21">
        <f>(F80*'Prices and Spreads'!$D$8*'Prices and Spreads'!G$37)</f>
        <v>10236.598105263161</v>
      </c>
      <c r="G89" s="21">
        <f>(G80*'Prices and Spreads'!$D$8*'Prices and Spreads'!H$37)</f>
        <v>10236.598105263161</v>
      </c>
      <c r="H89" s="21">
        <f>(H80*'Prices and Spreads'!$D$8*'Prices and Spreads'!I$37)</f>
        <v>10236.598105263161</v>
      </c>
      <c r="I89" s="21">
        <f>(I80*'Prices and Spreads'!$D$8*'Prices and Spreads'!J$37)</f>
        <v>10236.598105263161</v>
      </c>
      <c r="J89" s="21">
        <f>(J80*'Prices and Spreads'!$D$8*'Prices and Spreads'!K$37)</f>
        <v>10695.450315789476</v>
      </c>
      <c r="K89" s="21">
        <f>(K80*'Prices and Spreads'!$D$8*'Prices and Spreads'!L$36)</f>
        <v>11548.500157894738</v>
      </c>
      <c r="L89" s="21">
        <f>(L80*'Prices and Spreads'!$D$8*'Prices and Spreads'!M$36)</f>
        <v>11548.500157894738</v>
      </c>
      <c r="M89" s="21">
        <f>(M80*'Prices and Spreads'!$D$8*'Prices and Spreads'!N$36)</f>
        <v>11548.500157894738</v>
      </c>
      <c r="N89" s="21">
        <f t="shared" si="22"/>
        <v>130710.58957894742</v>
      </c>
    </row>
    <row r="90" spans="1:14" ht="15.75">
      <c r="A90" s="4" t="str">
        <f t="shared" si="23"/>
        <v>  Other Feed (ton)</v>
      </c>
      <c r="B90" s="21">
        <f>(B81*'Prices and Spreads'!$D$9*'Prices and Spreads'!C$38)</f>
        <v>0</v>
      </c>
      <c r="C90" s="21">
        <f>(C81*'Prices and Spreads'!$D$9*'Prices and Spreads'!D$38)</f>
        <v>0</v>
      </c>
      <c r="D90" s="21">
        <f>(D81*'Prices and Spreads'!$D$9*'Prices and Spreads'!E$38)</f>
        <v>0</v>
      </c>
      <c r="E90" s="21">
        <f>(E81*'Prices and Spreads'!$D$9*'Prices and Spreads'!F$38)</f>
        <v>0</v>
      </c>
      <c r="F90" s="21">
        <f>(F81*'Prices and Spreads'!$D$9*'Prices and Spreads'!G$38)</f>
        <v>0</v>
      </c>
      <c r="G90" s="21">
        <f>(G81*'Prices and Spreads'!$D$9*'Prices and Spreads'!H$38)</f>
        <v>0</v>
      </c>
      <c r="H90" s="21">
        <f>(H81*'Prices and Spreads'!$D$9*'Prices and Spreads'!I$38)</f>
        <v>0</v>
      </c>
      <c r="I90" s="21">
        <f>(I81*'Prices and Spreads'!$D$9*'Prices and Spreads'!J$38)</f>
        <v>0</v>
      </c>
      <c r="J90" s="21">
        <f>(J81*'Prices and Spreads'!$D$9*'Prices and Spreads'!K$38)</f>
        <v>0</v>
      </c>
      <c r="K90" s="21">
        <f>(K81*'Prices and Spreads'!$D$9*'Prices and Spreads'!L$37)</f>
        <v>0</v>
      </c>
      <c r="L90" s="21">
        <f>(L81*'Prices and Spreads'!$D$9*'Prices and Spreads'!M$37)</f>
        <v>0</v>
      </c>
      <c r="M90" s="21">
        <f>(M81*'Prices and Spreads'!$D$9*'Prices and Spreads'!N$37)</f>
        <v>0</v>
      </c>
      <c r="N90" s="21">
        <f t="shared" si="22"/>
        <v>0</v>
      </c>
    </row>
    <row r="91" spans="1:14" ht="15.75">
      <c r="A91" s="4" t="str">
        <f t="shared" si="23"/>
        <v>  Natural Sup (cwt)</v>
      </c>
      <c r="B91" s="21">
        <f>(B82*'Prices and Spreads'!$D$10*'Prices and Spreads'!C$39)</f>
        <v>18217.2090705</v>
      </c>
      <c r="C91" s="21">
        <f>(C82*'Prices and Spreads'!$D$10*'Prices and Spreads'!D$39)</f>
        <v>18217.2090705</v>
      </c>
      <c r="D91" s="21">
        <f>(D82*'Prices and Spreads'!$D$10*'Prices and Spreads'!E$39)</f>
        <v>17493.3915585</v>
      </c>
      <c r="E91" s="21">
        <f>(E82*'Prices and Spreads'!$D$10*'Prices and Spreads'!F$39)</f>
        <v>16147.746054000001</v>
      </c>
      <c r="F91" s="21">
        <f>(F82*'Prices and Spreads'!$D$10*'Prices and Spreads'!G$39)</f>
        <v>16147.746054000001</v>
      </c>
      <c r="G91" s="21">
        <f>(G82*'Prices and Spreads'!$D$10*'Prices and Spreads'!H$39)</f>
        <v>16147.746054000001</v>
      </c>
      <c r="H91" s="21">
        <f>(H82*'Prices and Spreads'!$D$10*'Prices and Spreads'!I$39)</f>
        <v>16147.746054000001</v>
      </c>
      <c r="I91" s="21">
        <f>(I82*'Prices and Spreads'!$D$10*'Prices and Spreads'!J$39)</f>
        <v>16147.746054000001</v>
      </c>
      <c r="J91" s="21">
        <f>(J82*'Prices and Spreads'!$D$10*'Prices and Spreads'!K$39)</f>
        <v>16871.563566000004</v>
      </c>
      <c r="K91" s="21">
        <f>(K82*'Prices and Spreads'!$D$10*'Prices and Spreads'!L$38)</f>
        <v>18217.2090705</v>
      </c>
      <c r="L91" s="21">
        <f>(L82*'Prices and Spreads'!$D$10*'Prices and Spreads'!M$38)</f>
        <v>18217.2090705</v>
      </c>
      <c r="M91" s="21">
        <f>(M82*'Prices and Spreads'!$D$10*'Prices and Spreads'!N$38)</f>
        <v>18217.2090705</v>
      </c>
      <c r="N91" s="21">
        <f t="shared" si="22"/>
        <v>206189.73074699997</v>
      </c>
    </row>
    <row r="92" spans="1:14" ht="15.75">
      <c r="A92" s="4" t="str">
        <f t="shared" si="23"/>
        <v>  Vit&amp;Min Suppl (cwt)</v>
      </c>
      <c r="B92" s="21">
        <f>(B83*'Prices and Spreads'!$D$11*'Prices and Spreads'!C$40)</f>
        <v>0</v>
      </c>
      <c r="C92" s="21">
        <f>(C83*'Prices and Spreads'!$D$11*'Prices and Spreads'!D$40)</f>
        <v>0</v>
      </c>
      <c r="D92" s="21">
        <f>(D83*'Prices and Spreads'!$D$11*'Prices and Spreads'!E$40)</f>
        <v>0</v>
      </c>
      <c r="E92" s="21">
        <f>(E83*'Prices and Spreads'!$D$11*'Prices and Spreads'!F$40)</f>
        <v>0</v>
      </c>
      <c r="F92" s="21">
        <f>(F83*'Prices and Spreads'!$D$11*'Prices and Spreads'!G$40)</f>
        <v>0</v>
      </c>
      <c r="G92" s="21">
        <f>(G83*'Prices and Spreads'!$D$11*'Prices and Spreads'!H$40)</f>
        <v>0</v>
      </c>
      <c r="H92" s="21">
        <f>(H83*'Prices and Spreads'!$D$11*'Prices and Spreads'!I$40)</f>
        <v>0</v>
      </c>
      <c r="I92" s="21">
        <f>(I83*'Prices and Spreads'!$D$11*'Prices and Spreads'!J$40)</f>
        <v>0</v>
      </c>
      <c r="J92" s="21">
        <f>(J83*'Prices and Spreads'!$D$11*'Prices and Spreads'!K$40)</f>
        <v>0</v>
      </c>
      <c r="K92" s="21">
        <f>(K83*'Prices and Spreads'!$D$11*'Prices and Spreads'!L$39)</f>
        <v>0</v>
      </c>
      <c r="L92" s="21">
        <f>(L83*'Prices and Spreads'!$D$11*'Prices and Spreads'!M$39)</f>
        <v>0</v>
      </c>
      <c r="M92" s="21">
        <f>(M83*'Prices and Spreads'!$D$11*'Prices and Spreads'!N$39)</f>
        <v>0</v>
      </c>
      <c r="N92" s="21">
        <f t="shared" si="22"/>
        <v>0</v>
      </c>
    </row>
    <row r="93" spans="1:14" ht="15.75">
      <c r="A93" s="18" t="s">
        <v>12</v>
      </c>
      <c r="B93" s="21">
        <f aca="true" t="shared" si="24" ref="B93:M93">SUM(B86:B92)</f>
        <v>199374.7882578136</v>
      </c>
      <c r="C93" s="21">
        <f t="shared" si="24"/>
        <v>204763.7392890029</v>
      </c>
      <c r="D93" s="21">
        <f t="shared" si="24"/>
        <v>200004.3225148731</v>
      </c>
      <c r="E93" s="21">
        <f t="shared" si="24"/>
        <v>187451.06172149963</v>
      </c>
      <c r="F93" s="21">
        <f t="shared" si="24"/>
        <v>190404.88091058892</v>
      </c>
      <c r="G93" s="21">
        <f t="shared" si="24"/>
        <v>196231.0978909654</v>
      </c>
      <c r="H93" s="21">
        <f t="shared" si="24"/>
        <v>199225.62777895585</v>
      </c>
      <c r="I93" s="21">
        <f t="shared" si="24"/>
        <v>206996.92739123953</v>
      </c>
      <c r="J93" s="21">
        <f t="shared" si="24"/>
        <v>182785.49818530362</v>
      </c>
      <c r="K93" s="21">
        <f t="shared" si="24"/>
        <v>193985.83722662437</v>
      </c>
      <c r="L93" s="21">
        <f t="shared" si="24"/>
        <v>190607.534344293</v>
      </c>
      <c r="M93" s="21">
        <f t="shared" si="24"/>
        <v>194077.69342882215</v>
      </c>
      <c r="N93" s="21">
        <f t="shared" si="22"/>
        <v>2345909.008939982</v>
      </c>
    </row>
    <row r="97" spans="1:4" ht="15.75">
      <c r="A97" s="18" t="s">
        <v>55</v>
      </c>
      <c r="C97" s="18" t="s">
        <v>71</v>
      </c>
      <c r="D97"/>
    </row>
    <row r="99" spans="1:10" ht="15.75">
      <c r="A99" s="18" t="s">
        <v>57</v>
      </c>
      <c r="B99" s="19" t="s">
        <v>72</v>
      </c>
      <c r="C99" s="19" t="s">
        <v>330</v>
      </c>
      <c r="F99" s="18" t="s">
        <v>155</v>
      </c>
      <c r="J99" s="18" t="s">
        <v>156</v>
      </c>
    </row>
    <row r="100" spans="1:12" ht="15.75">
      <c r="A100" s="2" t="s">
        <v>58</v>
      </c>
      <c r="F100" s="4" t="str">
        <f aca="true" t="shared" si="25" ref="F100:F106">A86</f>
        <v>  Corn (bu)</v>
      </c>
      <c r="H100" s="21">
        <f aca="true" t="shared" si="26" ref="H100:H106">SUM(B77:M77)</f>
        <v>370020.5928877842</v>
      </c>
      <c r="J100" s="4" t="str">
        <f>F100</f>
        <v>  Corn (bu)</v>
      </c>
      <c r="L100" s="47">
        <f aca="true" t="shared" si="27" ref="L100:L106">SUM(B86:M86)</f>
        <v>1161458.891075106</v>
      </c>
    </row>
    <row r="101" spans="1:12" ht="15.75">
      <c r="A101" s="2" t="s">
        <v>59</v>
      </c>
      <c r="B101" s="8">
        <f>N71</f>
        <v>2500</v>
      </c>
      <c r="C101" s="2">
        <f>+N4</f>
        <v>5000</v>
      </c>
      <c r="D101" s="46">
        <f>C101*'Prices and Spreads'!J4*'Historic Prices'!B212/100</f>
        <v>2636148.567708335</v>
      </c>
      <c r="F101" s="4" t="str">
        <f t="shared" si="25"/>
        <v>  WDGS (T)</v>
      </c>
      <c r="H101" s="21">
        <f t="shared" si="26"/>
        <v>19710.327</v>
      </c>
      <c r="J101" s="4" t="str">
        <f aca="true" t="shared" si="28" ref="J101:J106">F101</f>
        <v>  WDGS (T)</v>
      </c>
      <c r="L101" s="47">
        <f t="shared" si="27"/>
        <v>795456.1557674999</v>
      </c>
    </row>
    <row r="102" spans="1:12" ht="15.75">
      <c r="A102" s="2" t="s">
        <v>60</v>
      </c>
      <c r="B102" s="8">
        <f>N72</f>
        <v>2600</v>
      </c>
      <c r="C102" s="2">
        <f>N5</f>
        <v>5200</v>
      </c>
      <c r="D102" s="46">
        <f>C102*'Prices and Spreads'!K4*'Historic Prices'!C212/100</f>
        <v>3334817.60625</v>
      </c>
      <c r="F102" s="4" t="str">
        <f t="shared" si="25"/>
        <v>  Mixed hay (ton)</v>
      </c>
      <c r="H102" s="21">
        <f t="shared" si="26"/>
        <v>866.388</v>
      </c>
      <c r="J102" s="4" t="str">
        <f t="shared" si="28"/>
        <v>  Mixed hay (ton)</v>
      </c>
      <c r="L102" s="47">
        <f t="shared" si="27"/>
        <v>52093.64177142858</v>
      </c>
    </row>
    <row r="103" spans="1:12" ht="15.75">
      <c r="A103" s="2" t="s">
        <v>12</v>
      </c>
      <c r="B103" s="2">
        <f>B101+B102</f>
        <v>5100</v>
      </c>
      <c r="F103" s="4" t="str">
        <f t="shared" si="25"/>
        <v>  Corn Silage (ton)</v>
      </c>
      <c r="H103" s="21">
        <f t="shared" si="26"/>
        <v>4149.54252631579</v>
      </c>
      <c r="J103" s="4" t="str">
        <f t="shared" si="28"/>
        <v>  Corn Silage (ton)</v>
      </c>
      <c r="L103" s="47">
        <f t="shared" si="27"/>
        <v>130710.58957894742</v>
      </c>
    </row>
    <row r="104" spans="1:12" ht="15.75">
      <c r="A104" s="2" t="s">
        <v>61</v>
      </c>
      <c r="B104" s="23">
        <f>B103/Inputs!$G$11</f>
        <v>0.9107142857142857</v>
      </c>
      <c r="C104" s="23"/>
      <c r="F104" s="4" t="str">
        <f t="shared" si="25"/>
        <v>  Other Feed (ton)</v>
      </c>
      <c r="H104" s="21">
        <f t="shared" si="26"/>
        <v>0</v>
      </c>
      <c r="J104" s="4" t="str">
        <f t="shared" si="28"/>
        <v>  Other Feed (ton)</v>
      </c>
      <c r="L104" s="47">
        <f t="shared" si="27"/>
        <v>0</v>
      </c>
    </row>
    <row r="105" spans="1:12" ht="15.75">
      <c r="A105" s="2" t="s">
        <v>332</v>
      </c>
      <c r="D105" s="46">
        <f>(C101*'Prices and Spreads'!J6*(1-'Prices and Spreads'!J13)+'Prices and Spreads'!K6*(1-'Prices and Spreads'!K13)*Inventories!C102)*'Historic Prices'!D212/100</f>
        <v>9461196.264479162</v>
      </c>
      <c r="F105" s="4" t="str">
        <f t="shared" si="25"/>
        <v>  Natural Sup (cwt)</v>
      </c>
      <c r="H105" s="21">
        <f t="shared" si="26"/>
        <v>6872.991024900001</v>
      </c>
      <c r="J105" s="4" t="str">
        <f t="shared" si="28"/>
        <v>  Natural Sup (cwt)</v>
      </c>
      <c r="L105" s="47">
        <f t="shared" si="27"/>
        <v>206189.73074699997</v>
      </c>
    </row>
    <row r="106" spans="6:12" ht="15.75">
      <c r="F106" s="4" t="str">
        <f t="shared" si="25"/>
        <v>  Vit&amp;Min Suppl (cwt)</v>
      </c>
      <c r="H106" s="21">
        <f t="shared" si="26"/>
        <v>0</v>
      </c>
      <c r="J106" s="4" t="str">
        <f t="shared" si="28"/>
        <v>  Vit&amp;Min Suppl (cwt)</v>
      </c>
      <c r="L106" s="47">
        <f t="shared" si="27"/>
        <v>0</v>
      </c>
    </row>
    <row r="107" spans="6:12" ht="15.75">
      <c r="F107" s="4" t="s">
        <v>73</v>
      </c>
      <c r="H107" s="21">
        <f>H100*56/2000+SUM(H101:H106)</f>
        <v>41959.825152073754</v>
      </c>
      <c r="J107" s="18" t="s">
        <v>12</v>
      </c>
      <c r="L107" s="47">
        <f>SUM(L100:L106)</f>
        <v>2345909.008939982</v>
      </c>
    </row>
    <row r="108" spans="3:4" ht="15.75">
      <c r="C108" s="21"/>
      <c r="D108" s="21"/>
    </row>
    <row r="109" spans="3:4" ht="15.75">
      <c r="C109" s="21"/>
      <c r="D109" s="21"/>
    </row>
    <row r="110" spans="3:4" ht="15.75">
      <c r="C110" s="21"/>
      <c r="D110" s="21"/>
    </row>
    <row r="111" spans="3:4" ht="15.75">
      <c r="C111" s="21"/>
      <c r="D111" s="21"/>
    </row>
    <row r="112" spans="3:4" ht="15.75">
      <c r="C112" s="21"/>
      <c r="D112" s="21"/>
    </row>
    <row r="113" spans="3:4" ht="15.75">
      <c r="C113" s="21"/>
      <c r="D113" s="21"/>
    </row>
    <row r="114" spans="3:4" ht="15.75">
      <c r="C114" s="21"/>
      <c r="D114" s="21"/>
    </row>
    <row r="117" spans="3:4" ht="15.75">
      <c r="C117" s="21"/>
      <c r="D117" s="21"/>
    </row>
    <row r="118" spans="3:4" ht="15.75">
      <c r="C118" s="21"/>
      <c r="D118" s="21"/>
    </row>
    <row r="119" spans="3:4" ht="15.75">
      <c r="C119" s="21"/>
      <c r="D119" s="21"/>
    </row>
    <row r="120" spans="3:4" ht="15.75">
      <c r="C120" s="21"/>
      <c r="D120" s="21"/>
    </row>
    <row r="121" spans="3:4" ht="15.75">
      <c r="C121" s="21"/>
      <c r="D121" s="21"/>
    </row>
    <row r="122" spans="3:4" ht="15.75">
      <c r="C122" s="21"/>
      <c r="D122" s="21"/>
    </row>
    <row r="123" spans="3:4" ht="15.75">
      <c r="C123" s="21"/>
      <c r="D123" s="21"/>
    </row>
    <row r="124" spans="3:4" ht="15.75">
      <c r="C124" s="21"/>
      <c r="D124" s="21"/>
    </row>
  </sheetData>
  <printOptions/>
  <pageMargins left="0.5" right="0.25" top="1" bottom="1" header="0.5" footer="0.5"/>
  <pageSetup fitToHeight="0" fitToWidth="1" horizontalDpi="300" verticalDpi="300" orientation="landscape" scale="74" r:id="rId1"/>
  <headerFooter alignWithMargins="0">
    <oddHeader>&amp;L&amp;"Times New Roman,Regular"Iowa State University Extension&amp;C&amp;A</oddHeader>
    <oddFooter>&amp;C&amp;A&amp;RPage &amp;P</oddFooter>
  </headerFooter>
  <rowBreaks count="2" manualBreakCount="2">
    <brk id="38" max="13" man="1"/>
    <brk id="6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0" sqref="A10"/>
    </sheetView>
  </sheetViews>
  <sheetFormatPr defaultColWidth="8.796875" defaultRowHeight="15"/>
  <cols>
    <col min="1" max="1" width="30.09765625" style="2" customWidth="1"/>
    <col min="2" max="2" width="8.8984375" style="21" customWidth="1"/>
    <col min="3" max="4" width="8.8984375" style="3" customWidth="1"/>
    <col min="5" max="5" width="8.8984375" style="2" customWidth="1"/>
    <col min="6" max="6" width="8.8984375" style="21" customWidth="1"/>
    <col min="7" max="16384" width="8.8984375" style="2" customWidth="1"/>
  </cols>
  <sheetData>
    <row r="1" ht="15.75">
      <c r="A1" s="18" t="s">
        <v>355</v>
      </c>
    </row>
    <row r="3" ht="15.75">
      <c r="A3" s="2" t="str">
        <f>Inputs!A3</f>
        <v>Example Feedyard with Cattle</v>
      </c>
    </row>
    <row r="4" ht="15.75">
      <c r="A4" s="2" t="str">
        <f>Inputs!A4</f>
        <v>North Iowa</v>
      </c>
    </row>
    <row r="7" spans="1:6" ht="15.75">
      <c r="A7" s="2" t="str">
        <f>Inputs!A7</f>
        <v>Initial Investment</v>
      </c>
      <c r="B7" s="43" t="str">
        <f>Inputs!B7</f>
        <v>Total</v>
      </c>
      <c r="C7" s="3" t="str">
        <f>Inputs!C7</f>
        <v>Purchase</v>
      </c>
      <c r="D7" s="3" t="str">
        <f>Inputs!D7</f>
        <v>Depreciation</v>
      </c>
      <c r="E7" s="130" t="s">
        <v>357</v>
      </c>
      <c r="F7" s="43" t="s">
        <v>358</v>
      </c>
    </row>
    <row r="8" spans="1:6" ht="16.5" thickBot="1">
      <c r="A8" s="126" t="str">
        <f>Inputs!A8</f>
        <v>Land and Facility</v>
      </c>
      <c r="B8" s="129" t="str">
        <f>Inputs!B8</f>
        <v>Amount</v>
      </c>
      <c r="C8" s="124" t="str">
        <f>Inputs!C8</f>
        <v>Month</v>
      </c>
      <c r="D8" s="124" t="str">
        <f>Inputs!D8</f>
        <v>Years</v>
      </c>
      <c r="E8" s="131" t="s">
        <v>359</v>
      </c>
      <c r="F8" s="129" t="s">
        <v>360</v>
      </c>
    </row>
    <row r="9" spans="1:6" ht="15.75">
      <c r="A9" s="2" t="str">
        <f>Inputs!A9</f>
        <v>Land, 40 acres</v>
      </c>
      <c r="B9" s="21">
        <f>Inputs!B9</f>
        <v>125000</v>
      </c>
      <c r="C9" s="3">
        <f>Inputs!C9</f>
        <v>1</v>
      </c>
      <c r="D9" s="3" t="str">
        <f>Inputs!D9</f>
        <v>NA</v>
      </c>
      <c r="E9" s="263"/>
      <c r="F9" s="43"/>
    </row>
    <row r="10" spans="1:6" ht="15.75">
      <c r="A10" s="2" t="str">
        <f>Inputs!A10</f>
        <v>Excavation/landscaping</v>
      </c>
      <c r="B10" s="21">
        <f>Inputs!B10</f>
        <v>20000</v>
      </c>
      <c r="C10" s="3">
        <f>Inputs!C10</f>
        <v>2</v>
      </c>
      <c r="D10" s="3">
        <f>Inputs!D10</f>
        <v>20</v>
      </c>
      <c r="E10" s="263">
        <v>0</v>
      </c>
      <c r="F10" s="43">
        <f>B10*(1-E10)/D10</f>
        <v>1000</v>
      </c>
    </row>
    <row r="11" spans="1:6" ht="15.75">
      <c r="A11" s="2" t="str">
        <f>Inputs!A11</f>
        <v>Commodity shed</v>
      </c>
      <c r="B11" s="21">
        <f>Inputs!B11</f>
        <v>20000</v>
      </c>
      <c r="C11" s="3">
        <f>Inputs!C11</f>
        <v>3</v>
      </c>
      <c r="D11" s="3">
        <f>Inputs!D11</f>
        <v>20</v>
      </c>
      <c r="E11" s="263">
        <v>0</v>
      </c>
      <c r="F11" s="43">
        <f>B11*(1-E11)/D11</f>
        <v>1000</v>
      </c>
    </row>
    <row r="12" spans="1:6" ht="15.75">
      <c r="A12" s="2" t="str">
        <f>Inputs!A12</f>
        <v>Water system</v>
      </c>
      <c r="B12" s="21">
        <f>Inputs!B12</f>
        <v>40000</v>
      </c>
      <c r="C12" s="3">
        <f>Inputs!C12</f>
        <v>3</v>
      </c>
      <c r="D12" s="3">
        <f>Inputs!D12</f>
        <v>20</v>
      </c>
      <c r="E12" s="263">
        <v>0</v>
      </c>
      <c r="F12" s="43">
        <f>B12*(1-E12)/D12</f>
        <v>2000</v>
      </c>
    </row>
    <row r="13" spans="1:6" ht="15.75">
      <c r="A13" s="2" t="str">
        <f>Inputs!A13</f>
        <v>Shop</v>
      </c>
      <c r="B13" s="21">
        <f>Inputs!B13</f>
        <v>20000</v>
      </c>
      <c r="C13" s="3">
        <f>Inputs!C13</f>
        <v>4</v>
      </c>
      <c r="D13" s="3">
        <f>Inputs!D13</f>
        <v>15</v>
      </c>
      <c r="E13" s="263">
        <v>0.1</v>
      </c>
      <c r="F13" s="43">
        <f>B13*(1-E13)/D13</f>
        <v>1200</v>
      </c>
    </row>
    <row r="14" spans="1:6" ht="15.75">
      <c r="A14" s="2" t="str">
        <f>Inputs!A14</f>
        <v>Concrete work</v>
      </c>
      <c r="B14" s="21">
        <f>Inputs!B14</f>
        <v>0</v>
      </c>
      <c r="C14" s="3">
        <f>Inputs!C14</f>
        <v>4</v>
      </c>
      <c r="D14" s="3">
        <f>Inputs!D14</f>
        <v>20</v>
      </c>
      <c r="E14" s="263">
        <v>0</v>
      </c>
      <c r="F14" s="43">
        <f>B14*(1-E14)/D14</f>
        <v>0</v>
      </c>
    </row>
    <row r="15" spans="1:5" ht="15.75">
      <c r="A15" s="2" t="str">
        <f>Inputs!A15</f>
        <v>Lanes and gravel</v>
      </c>
      <c r="B15" s="21">
        <f>Inputs!B15</f>
        <v>5000</v>
      </c>
      <c r="C15" s="3">
        <f>Inputs!C15</f>
        <v>4</v>
      </c>
      <c r="D15" s="3" t="str">
        <f>Inputs!D15</f>
        <v>NA</v>
      </c>
      <c r="E15" s="263"/>
    </row>
    <row r="16" spans="1:6" ht="15.75">
      <c r="A16" s="2" t="str">
        <f>Inputs!A16</f>
        <v>Receiving/processing area</v>
      </c>
      <c r="B16" s="21">
        <f>Inputs!B16</f>
        <v>30000</v>
      </c>
      <c r="C16" s="3">
        <f>Inputs!C16</f>
        <v>3</v>
      </c>
      <c r="D16" s="3">
        <f>Inputs!D16</f>
        <v>15</v>
      </c>
      <c r="E16" s="263">
        <v>0.1</v>
      </c>
      <c r="F16" s="43">
        <f aca="true" t="shared" si="0" ref="F16:F22">B16*(1-E16)/D16</f>
        <v>1800</v>
      </c>
    </row>
    <row r="17" spans="1:6" ht="15.75">
      <c r="A17" s="2" t="str">
        <f>Inputs!A17</f>
        <v>Two monoslope barns</v>
      </c>
      <c r="B17" s="21">
        <f>Inputs!B17</f>
        <v>2500000</v>
      </c>
      <c r="C17" s="3">
        <f>Inputs!C17</f>
        <v>4</v>
      </c>
      <c r="D17" s="3">
        <f>Inputs!D17</f>
        <v>20</v>
      </c>
      <c r="E17" s="263">
        <v>0</v>
      </c>
      <c r="F17" s="43">
        <f t="shared" si="0"/>
        <v>125000</v>
      </c>
    </row>
    <row r="18" spans="1:6" ht="15.75">
      <c r="A18" s="2" t="str">
        <f>Inputs!A18</f>
        <v>Manure storage structure</v>
      </c>
      <c r="B18" s="21">
        <f>Inputs!B18</f>
        <v>30000</v>
      </c>
      <c r="C18" s="3">
        <f>Inputs!C18</f>
        <v>4</v>
      </c>
      <c r="D18" s="3">
        <f>Inputs!D18</f>
        <v>20</v>
      </c>
      <c r="E18" s="263">
        <v>0</v>
      </c>
      <c r="F18" s="43">
        <f t="shared" si="0"/>
        <v>1500</v>
      </c>
    </row>
    <row r="19" spans="1:6" ht="15.75">
      <c r="A19" s="2" t="str">
        <f>Inputs!A19</f>
        <v>Office/equipment</v>
      </c>
      <c r="B19" s="21">
        <f>Inputs!B19</f>
        <v>10000</v>
      </c>
      <c r="C19" s="3">
        <f>Inputs!C19</f>
        <v>4</v>
      </c>
      <c r="D19" s="3">
        <f>Inputs!D19</f>
        <v>15</v>
      </c>
      <c r="E19" s="263">
        <v>0.1</v>
      </c>
      <c r="F19" s="43">
        <f t="shared" si="0"/>
        <v>600</v>
      </c>
    </row>
    <row r="20" spans="1:6" ht="15.75">
      <c r="A20" s="2" t="str">
        <f>Inputs!A20</f>
        <v>Scales</v>
      </c>
      <c r="B20" s="21">
        <f>Inputs!B20</f>
        <v>35000</v>
      </c>
      <c r="C20" s="3">
        <f>Inputs!C20</f>
        <v>3</v>
      </c>
      <c r="D20" s="3">
        <f>Inputs!D20</f>
        <v>15</v>
      </c>
      <c r="E20" s="263">
        <v>0</v>
      </c>
      <c r="F20" s="43">
        <f t="shared" si="0"/>
        <v>2333.3333333333335</v>
      </c>
    </row>
    <row r="21" spans="1:6" ht="15.75">
      <c r="A21" s="2" t="str">
        <f>Inputs!A21</f>
        <v>Electrical and lighting</v>
      </c>
      <c r="B21" s="21">
        <f>Inputs!B21</f>
        <v>10000</v>
      </c>
      <c r="C21" s="3">
        <f>Inputs!C21</f>
        <v>4</v>
      </c>
      <c r="D21" s="3">
        <f>Inputs!D21</f>
        <v>15</v>
      </c>
      <c r="E21" s="263">
        <v>0</v>
      </c>
      <c r="F21" s="43">
        <f t="shared" si="0"/>
        <v>666.6666666666666</v>
      </c>
    </row>
    <row r="22" spans="1:6" ht="15.75">
      <c r="A22" s="2" t="str">
        <f>Inputs!A22</f>
        <v>Engineering &amp; Misc</v>
      </c>
      <c r="B22" s="21">
        <f>Inputs!B22</f>
        <v>25000</v>
      </c>
      <c r="C22" s="3">
        <f>Inputs!C22</f>
        <v>3</v>
      </c>
      <c r="D22" s="3">
        <f>Inputs!D22</f>
        <v>15</v>
      </c>
      <c r="E22" s="263">
        <v>0</v>
      </c>
      <c r="F22" s="43">
        <f t="shared" si="0"/>
        <v>1666.6666666666667</v>
      </c>
    </row>
    <row r="23" spans="1:5" ht="15.75">
      <c r="A23" s="7">
        <f>Inputs!A23</f>
        <v>0</v>
      </c>
      <c r="B23" s="21">
        <f>Inputs!B23</f>
        <v>0</v>
      </c>
      <c r="C23" s="3">
        <f>Inputs!C23</f>
        <v>0</v>
      </c>
      <c r="D23" s="3">
        <f>Inputs!D23</f>
        <v>0</v>
      </c>
      <c r="E23" s="206"/>
    </row>
    <row r="24" spans="1:5" ht="15.75">
      <c r="A24" s="7">
        <f>Inputs!A24</f>
        <v>0</v>
      </c>
      <c r="B24" s="21">
        <f>Inputs!B24</f>
        <v>0</v>
      </c>
      <c r="C24" s="3">
        <f>Inputs!C24</f>
        <v>0</v>
      </c>
      <c r="D24" s="3">
        <f>Inputs!D24</f>
        <v>0</v>
      </c>
      <c r="E24" s="206"/>
    </row>
    <row r="25" spans="1:5" ht="15.75">
      <c r="A25" s="7">
        <f>Inputs!A25</f>
        <v>0</v>
      </c>
      <c r="B25" s="21">
        <f>Inputs!B25</f>
        <v>0</v>
      </c>
      <c r="C25" s="3">
        <f>Inputs!C25</f>
        <v>0</v>
      </c>
      <c r="D25" s="3">
        <f>Inputs!D25</f>
        <v>0</v>
      </c>
      <c r="E25" s="206"/>
    </row>
    <row r="26" spans="1:5" ht="15.75">
      <c r="A26" s="7">
        <f>Inputs!A26</f>
        <v>0</v>
      </c>
      <c r="B26" s="21">
        <f>Inputs!B26</f>
        <v>0</v>
      </c>
      <c r="C26" s="3">
        <f>Inputs!C26</f>
        <v>0</v>
      </c>
      <c r="D26" s="3">
        <f>Inputs!D26</f>
        <v>0</v>
      </c>
      <c r="E26" s="206"/>
    </row>
    <row r="27" spans="1:5" ht="15.75">
      <c r="A27" s="7">
        <f>Inputs!A27</f>
        <v>0</v>
      </c>
      <c r="B27" s="21">
        <f>Inputs!B27</f>
        <v>0</v>
      </c>
      <c r="C27" s="3">
        <f>Inputs!C27</f>
        <v>0</v>
      </c>
      <c r="D27" s="3">
        <f>Inputs!D27</f>
        <v>0</v>
      </c>
      <c r="E27" s="206"/>
    </row>
    <row r="28" spans="1:5" ht="15.75">
      <c r="A28" s="7">
        <f>Inputs!A28</f>
        <v>0</v>
      </c>
      <c r="B28" s="21">
        <f>Inputs!B28</f>
        <v>0</v>
      </c>
      <c r="C28" s="3">
        <f>Inputs!C28</f>
        <v>0</v>
      </c>
      <c r="D28" s="3">
        <f>Inputs!D28</f>
        <v>0</v>
      </c>
      <c r="E28" s="206"/>
    </row>
    <row r="29" spans="1:5" ht="15.75">
      <c r="A29" s="7">
        <f>Inputs!A29</f>
        <v>0</v>
      </c>
      <c r="B29" s="21">
        <f>Inputs!B29</f>
        <v>0</v>
      </c>
      <c r="C29" s="3">
        <f>Inputs!C29</f>
        <v>0</v>
      </c>
      <c r="D29" s="3">
        <f>Inputs!D29</f>
        <v>0</v>
      </c>
      <c r="E29" s="206"/>
    </row>
    <row r="30" spans="1:5" ht="16.5" thickBot="1">
      <c r="A30" s="126" t="str">
        <f>Inputs!A30</f>
        <v>Equipment</v>
      </c>
      <c r="B30" s="127"/>
      <c r="C30" s="128"/>
      <c r="D30" s="128"/>
      <c r="E30" s="206"/>
    </row>
    <row r="31" spans="1:6" ht="15.75">
      <c r="A31" s="2" t="str">
        <f>Inputs!A31</f>
        <v>Supplement bins/tanks/pumps/motors</v>
      </c>
      <c r="B31" s="21">
        <f>Inputs!B31</f>
        <v>5000</v>
      </c>
      <c r="C31" s="3">
        <f>Inputs!C31</f>
        <v>5</v>
      </c>
      <c r="D31" s="3">
        <f>Inputs!D31</f>
        <v>7</v>
      </c>
      <c r="E31" s="263">
        <v>0.1</v>
      </c>
      <c r="F31" s="43">
        <f aca="true" t="shared" si="1" ref="F31:F40">B31*(1-E31)/D31</f>
        <v>642.8571428571429</v>
      </c>
    </row>
    <row r="32" spans="1:6" ht="15.75">
      <c r="A32" s="2" t="str">
        <f>Inputs!A32</f>
        <v>Feed truck/wagon</v>
      </c>
      <c r="B32" s="21">
        <f>Inputs!B32</f>
        <v>80000</v>
      </c>
      <c r="C32" s="3">
        <f>Inputs!C32</f>
        <v>5</v>
      </c>
      <c r="D32" s="3">
        <f>Inputs!D32</f>
        <v>7</v>
      </c>
      <c r="E32" s="263">
        <v>0.1</v>
      </c>
      <c r="F32" s="43">
        <f t="shared" si="1"/>
        <v>10285.714285714286</v>
      </c>
    </row>
    <row r="33" spans="1:6" ht="15.75">
      <c r="A33" s="2" t="str">
        <f>Inputs!A33</f>
        <v>End loader/grapple forks</v>
      </c>
      <c r="B33" s="21">
        <f>Inputs!B33</f>
        <v>60000</v>
      </c>
      <c r="C33" s="3">
        <f>Inputs!C33</f>
        <v>5</v>
      </c>
      <c r="D33" s="3">
        <f>Inputs!D33</f>
        <v>7</v>
      </c>
      <c r="E33" s="263">
        <v>0.1</v>
      </c>
      <c r="F33" s="43">
        <f t="shared" si="1"/>
        <v>7714.285714285715</v>
      </c>
    </row>
    <row r="34" spans="1:6" ht="15.75">
      <c r="A34" s="2" t="str">
        <f>Inputs!A34</f>
        <v>Tractor (2)</v>
      </c>
      <c r="B34" s="21">
        <f>Inputs!B34</f>
        <v>70000</v>
      </c>
      <c r="C34" s="3">
        <f>Inputs!C34</f>
        <v>1</v>
      </c>
      <c r="D34" s="3">
        <f>Inputs!D34</f>
        <v>7</v>
      </c>
      <c r="E34" s="263">
        <v>0.1</v>
      </c>
      <c r="F34" s="43">
        <f t="shared" si="1"/>
        <v>9000</v>
      </c>
    </row>
    <row r="35" spans="1:6" ht="15.75">
      <c r="A35" s="2" t="str">
        <f>Inputs!A35</f>
        <v>Truck spreader</v>
      </c>
      <c r="B35" s="21">
        <f>Inputs!B35</f>
        <v>85000</v>
      </c>
      <c r="C35" s="3">
        <f>Inputs!C35</f>
        <v>4</v>
      </c>
      <c r="D35" s="3">
        <f>Inputs!D35</f>
        <v>7</v>
      </c>
      <c r="E35" s="263">
        <v>0.1</v>
      </c>
      <c r="F35" s="43">
        <f t="shared" si="1"/>
        <v>10928.57142857143</v>
      </c>
    </row>
    <row r="36" spans="1:6" ht="15.75">
      <c r="A36" s="2" t="str">
        <f>Inputs!A36</f>
        <v>Bale processor/skid loader/mower</v>
      </c>
      <c r="B36" s="21">
        <f>Inputs!B36</f>
        <v>40000</v>
      </c>
      <c r="C36" s="3">
        <f>Inputs!C36</f>
        <v>5</v>
      </c>
      <c r="D36" s="3">
        <v>7</v>
      </c>
      <c r="E36" s="263">
        <v>0.1</v>
      </c>
      <c r="F36" s="43">
        <f t="shared" si="1"/>
        <v>5142.857142857143</v>
      </c>
    </row>
    <row r="37" spans="1:6" ht="15.75">
      <c r="A37" s="2" t="str">
        <f>Inputs!A37</f>
        <v>Bunks</v>
      </c>
      <c r="B37" s="21">
        <f>Inputs!B37</f>
        <v>0</v>
      </c>
      <c r="C37" s="3">
        <f>Inputs!C37</f>
        <v>3</v>
      </c>
      <c r="D37" s="3">
        <v>15</v>
      </c>
      <c r="E37" s="263">
        <v>0.1</v>
      </c>
      <c r="F37" s="43">
        <f t="shared" si="1"/>
        <v>0</v>
      </c>
    </row>
    <row r="38" spans="1:6" ht="15.75">
      <c r="A38" s="7" t="str">
        <f>Inputs!A38</f>
        <v>Waterers</v>
      </c>
      <c r="B38" s="21">
        <f>Inputs!B38</f>
        <v>0</v>
      </c>
      <c r="C38" s="3">
        <f>Inputs!C38</f>
        <v>5</v>
      </c>
      <c r="D38" s="3">
        <f>Inputs!D38</f>
        <v>7</v>
      </c>
      <c r="E38" s="263">
        <v>0.1</v>
      </c>
      <c r="F38" s="43">
        <f t="shared" si="1"/>
        <v>0</v>
      </c>
    </row>
    <row r="39" spans="1:6" ht="15.75">
      <c r="A39" s="7" t="str">
        <f>Inputs!A39</f>
        <v>Environmental equipment</v>
      </c>
      <c r="B39" s="21">
        <f>Inputs!B39</f>
        <v>0</v>
      </c>
      <c r="C39" s="3">
        <f>Inputs!C39</f>
        <v>0</v>
      </c>
      <c r="D39" s="3">
        <v>7</v>
      </c>
      <c r="E39" s="263">
        <v>0.1</v>
      </c>
      <c r="F39" s="43">
        <f t="shared" si="1"/>
        <v>0</v>
      </c>
    </row>
    <row r="40" spans="1:6" ht="15.75">
      <c r="A40" s="7" t="str">
        <f>Inputs!A40</f>
        <v>Miscellaneous equipment/parts</v>
      </c>
      <c r="B40" s="21">
        <f>Inputs!B40</f>
        <v>10000</v>
      </c>
      <c r="C40" s="3">
        <f>Inputs!C40</f>
        <v>0</v>
      </c>
      <c r="D40" s="3">
        <v>7</v>
      </c>
      <c r="E40" s="263">
        <v>0</v>
      </c>
      <c r="F40" s="43">
        <f t="shared" si="1"/>
        <v>1428.5714285714287</v>
      </c>
    </row>
    <row r="41" spans="1:5" ht="16.5" thickBot="1">
      <c r="A41" s="126" t="str">
        <f>Inputs!A45</f>
        <v>Other Capital Invested</v>
      </c>
      <c r="B41" s="125"/>
      <c r="C41" s="124"/>
      <c r="D41" s="124"/>
      <c r="E41" s="206"/>
    </row>
    <row r="42" spans="1:5" ht="15.75">
      <c r="A42" s="2" t="str">
        <f>Inputs!A46</f>
        <v>Initial line of Credit</v>
      </c>
      <c r="B42" s="21">
        <f>Inputs!B47</f>
        <v>200000</v>
      </c>
      <c r="C42" s="3">
        <f>Inputs!C46</f>
        <v>0</v>
      </c>
      <c r="D42" s="3">
        <f>Inputs!D46</f>
        <v>0</v>
      </c>
      <c r="E42" s="206"/>
    </row>
    <row r="43" spans="1:5" ht="15.75">
      <c r="A43" s="2" t="str">
        <f>Inputs!A47</f>
        <v>Contingency</v>
      </c>
      <c r="B43" s="21">
        <f>Inputs!B48</f>
        <v>0</v>
      </c>
      <c r="C43" s="3">
        <f>Inputs!C47</f>
        <v>0</v>
      </c>
      <c r="D43" s="3">
        <f>Inputs!D47</f>
        <v>0</v>
      </c>
      <c r="E43" s="206"/>
    </row>
    <row r="44" spans="1:5" ht="15.75">
      <c r="A44" s="2">
        <f>Inputs!A48</f>
        <v>0</v>
      </c>
      <c r="B44" s="21">
        <f>Inputs!B48</f>
        <v>0</v>
      </c>
      <c r="C44" s="3">
        <f>Inputs!C48</f>
        <v>0</v>
      </c>
      <c r="D44" s="3">
        <f>Inputs!D48</f>
        <v>0</v>
      </c>
      <c r="E44" s="206"/>
    </row>
    <row r="45" spans="1:5" ht="15.75">
      <c r="A45" s="2">
        <f>Inputs!A49</f>
        <v>0</v>
      </c>
      <c r="B45" s="21">
        <f>Inputs!B49</f>
        <v>0</v>
      </c>
      <c r="C45" s="3">
        <f>Inputs!C49</f>
        <v>0</v>
      </c>
      <c r="D45" s="3">
        <f>Inputs!D49</f>
        <v>0</v>
      </c>
      <c r="E45" s="206"/>
    </row>
    <row r="46" spans="1:5" ht="15.75">
      <c r="A46" s="2">
        <f>Inputs!A50</f>
        <v>0</v>
      </c>
      <c r="B46" s="21">
        <f>Inputs!B50</f>
        <v>0</v>
      </c>
      <c r="C46" s="3">
        <f>Inputs!C50</f>
        <v>0</v>
      </c>
      <c r="D46" s="3">
        <f>Inputs!D50</f>
        <v>0</v>
      </c>
      <c r="E46" s="206"/>
    </row>
    <row r="47" spans="1:5" ht="15.75">
      <c r="A47" s="2" t="str">
        <f>Inputs!A51</f>
        <v>Total Investment</v>
      </c>
      <c r="B47" s="21">
        <f>Inputs!B51</f>
        <v>3920000</v>
      </c>
      <c r="E47" s="206"/>
    </row>
    <row r="48" spans="1:6" ht="15.75">
      <c r="A48" s="2" t="s">
        <v>356</v>
      </c>
      <c r="E48" s="206"/>
      <c r="F48" s="21">
        <f>SUM(F9:F46)</f>
        <v>183909.52380952376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3">
      <selection activeCell="F34" sqref="F34:F37"/>
    </sheetView>
  </sheetViews>
  <sheetFormatPr defaultColWidth="8.796875" defaultRowHeight="15"/>
  <cols>
    <col min="1" max="1" width="6.796875" style="2" customWidth="1"/>
    <col min="2" max="2" width="18.59765625" style="2" customWidth="1"/>
    <col min="3" max="3" width="7.3984375" style="2" customWidth="1"/>
    <col min="4" max="4" width="24.3984375" style="2" customWidth="1"/>
    <col min="5" max="5" width="7.69921875" style="10" customWidth="1"/>
    <col min="6" max="6" width="8" style="10" customWidth="1"/>
    <col min="7" max="8" width="8.8984375" style="2" customWidth="1"/>
    <col min="9" max="9" width="9.8984375" style="2" bestFit="1" customWidth="1"/>
    <col min="10" max="16384" width="8.8984375" style="2" customWidth="1"/>
  </cols>
  <sheetData>
    <row r="1" spans="1:6" ht="18.75">
      <c r="A1" s="264" t="s">
        <v>371</v>
      </c>
      <c r="B1" s="265"/>
      <c r="C1" s="265"/>
      <c r="D1" s="265"/>
      <c r="E1" s="265"/>
      <c r="F1" s="266"/>
    </row>
    <row r="2" spans="1:6" ht="15.75">
      <c r="A2" s="132" t="s">
        <v>372</v>
      </c>
      <c r="B2" s="267" t="str">
        <f>'[1]Inputs'!A3</f>
        <v>Example Feedyard without Cattle</v>
      </c>
      <c r="C2" s="267"/>
      <c r="D2" s="267"/>
      <c r="E2" s="133" t="s">
        <v>373</v>
      </c>
      <c r="F2" s="134">
        <f>'[1]Annual Cash Flow'!D4</f>
        <v>2009</v>
      </c>
    </row>
    <row r="3" spans="1:6" ht="15.75">
      <c r="A3" s="132" t="s">
        <v>374</v>
      </c>
      <c r="B3" s="135"/>
      <c r="C3" s="135" t="s">
        <v>375</v>
      </c>
      <c r="D3" s="135"/>
      <c r="E3" s="133"/>
      <c r="F3" s="136"/>
    </row>
    <row r="4" spans="1:6" ht="15.75">
      <c r="A4" s="132" t="s">
        <v>376</v>
      </c>
      <c r="B4" s="135"/>
      <c r="C4" s="135"/>
      <c r="D4" s="135" t="s">
        <v>377</v>
      </c>
      <c r="E4" s="133" t="s">
        <v>378</v>
      </c>
      <c r="F4" s="136" t="s">
        <v>379</v>
      </c>
    </row>
    <row r="5" spans="1:6" ht="15.75">
      <c r="A5" s="132" t="s">
        <v>380</v>
      </c>
      <c r="B5" s="135"/>
      <c r="C5" s="137">
        <f>'Annual Cash Flow'!D46</f>
        <v>0</v>
      </c>
      <c r="D5" s="176" t="s">
        <v>381</v>
      </c>
      <c r="E5" s="180" t="s">
        <v>375</v>
      </c>
      <c r="F5" s="180" t="s">
        <v>375</v>
      </c>
    </row>
    <row r="6" spans="1:6" ht="15.75">
      <c r="A6" s="132" t="s">
        <v>382</v>
      </c>
      <c r="B6" s="135"/>
      <c r="C6" s="137">
        <f>'Annual Cash Flow'!D47</f>
        <v>2345909.0089399824</v>
      </c>
      <c r="D6" s="176" t="s">
        <v>383</v>
      </c>
      <c r="E6" s="180" t="s">
        <v>375</v>
      </c>
      <c r="F6" s="180" t="s">
        <v>375</v>
      </c>
    </row>
    <row r="7" spans="1:6" ht="15.75">
      <c r="A7" s="175" t="s">
        <v>384</v>
      </c>
      <c r="B7" s="176"/>
      <c r="C7" s="177" t="s">
        <v>375</v>
      </c>
      <c r="D7" s="176" t="s">
        <v>385</v>
      </c>
      <c r="E7" s="180" t="s">
        <v>375</v>
      </c>
      <c r="F7" s="180" t="s">
        <v>375</v>
      </c>
    </row>
    <row r="8" spans="1:6" ht="15.75">
      <c r="A8" s="175" t="s">
        <v>386</v>
      </c>
      <c r="B8" s="176"/>
      <c r="C8" s="177" t="s">
        <v>375</v>
      </c>
      <c r="D8" s="176" t="s">
        <v>387</v>
      </c>
      <c r="E8" s="180" t="s">
        <v>375</v>
      </c>
      <c r="F8" s="180" t="s">
        <v>375</v>
      </c>
    </row>
    <row r="9" spans="1:6" ht="15.75">
      <c r="A9" s="175" t="s">
        <v>388</v>
      </c>
      <c r="B9" s="176"/>
      <c r="C9" s="177" t="s">
        <v>375</v>
      </c>
      <c r="D9" s="176" t="s">
        <v>389</v>
      </c>
      <c r="E9" s="180" t="s">
        <v>375</v>
      </c>
      <c r="F9" s="180" t="s">
        <v>375</v>
      </c>
    </row>
    <row r="10" spans="1:6" ht="15.75">
      <c r="A10" s="132" t="s">
        <v>390</v>
      </c>
      <c r="B10" s="135"/>
      <c r="C10" s="138">
        <f>'Annual Cash Flow'!D49+'Annual Cash Flow'!D51+'Annual Cash Flow'!D53</f>
        <v>802638</v>
      </c>
      <c r="D10" s="176" t="s">
        <v>375</v>
      </c>
      <c r="E10" s="181" t="s">
        <v>391</v>
      </c>
      <c r="F10" s="182" t="s">
        <v>392</v>
      </c>
    </row>
    <row r="11" spans="1:6" ht="15.75">
      <c r="A11" s="175" t="s">
        <v>393</v>
      </c>
      <c r="B11" s="176"/>
      <c r="C11" s="177" t="s">
        <v>375</v>
      </c>
      <c r="D11" s="176" t="s">
        <v>394</v>
      </c>
      <c r="E11" s="180"/>
      <c r="F11" s="180"/>
    </row>
    <row r="12" spans="1:6" ht="16.5" thickBot="1">
      <c r="A12" s="175" t="s">
        <v>395</v>
      </c>
      <c r="B12" s="176"/>
      <c r="C12" s="178" t="s">
        <v>375</v>
      </c>
      <c r="D12" s="268" t="s">
        <v>396</v>
      </c>
      <c r="E12" s="269"/>
      <c r="F12" s="183"/>
    </row>
    <row r="13" spans="1:6" ht="16.5" thickBot="1">
      <c r="A13" s="132" t="s">
        <v>397</v>
      </c>
      <c r="B13" s="135"/>
      <c r="C13" s="140">
        <f>SUM(C5:C12)</f>
        <v>3148547.0089399824</v>
      </c>
      <c r="D13" s="270" t="s">
        <v>398</v>
      </c>
      <c r="E13" s="271"/>
      <c r="F13" s="141">
        <f>C13+E11-F11+F12</f>
        <v>3148547.0089399824</v>
      </c>
    </row>
    <row r="14" spans="1:6" ht="15.75">
      <c r="A14" s="132" t="s">
        <v>399</v>
      </c>
      <c r="B14" s="135"/>
      <c r="C14" s="142"/>
      <c r="D14" s="135"/>
      <c r="E14" s="133"/>
      <c r="F14" s="139"/>
    </row>
    <row r="15" spans="1:6" ht="15.75">
      <c r="A15" s="132" t="s">
        <v>400</v>
      </c>
      <c r="B15" s="135"/>
      <c r="C15" s="142" t="s">
        <v>375</v>
      </c>
      <c r="D15" s="135" t="s">
        <v>401</v>
      </c>
      <c r="E15" s="133" t="s">
        <v>379</v>
      </c>
      <c r="F15" s="139" t="s">
        <v>378</v>
      </c>
    </row>
    <row r="16" spans="1:6" ht="15.75">
      <c r="A16" s="175" t="s">
        <v>402</v>
      </c>
      <c r="B16" s="176"/>
      <c r="C16" s="179" t="s">
        <v>375</v>
      </c>
      <c r="D16" s="176" t="s">
        <v>403</v>
      </c>
      <c r="E16" s="180" t="s">
        <v>375</v>
      </c>
      <c r="F16" s="180" t="s">
        <v>375</v>
      </c>
    </row>
    <row r="17" spans="1:6" ht="15.75">
      <c r="A17" s="175" t="s">
        <v>404</v>
      </c>
      <c r="B17" s="176"/>
      <c r="C17" s="179" t="s">
        <v>375</v>
      </c>
      <c r="D17" s="176" t="s">
        <v>405</v>
      </c>
      <c r="E17" s="180" t="s">
        <v>375</v>
      </c>
      <c r="F17" s="180" t="s">
        <v>375</v>
      </c>
    </row>
    <row r="18" spans="1:6" ht="15.75">
      <c r="A18" s="175" t="s">
        <v>406</v>
      </c>
      <c r="B18" s="176"/>
      <c r="C18" s="179" t="s">
        <v>375</v>
      </c>
      <c r="D18" s="176" t="s">
        <v>407</v>
      </c>
      <c r="E18" s="180" t="s">
        <v>375</v>
      </c>
      <c r="F18" s="180" t="s">
        <v>375</v>
      </c>
    </row>
    <row r="19" spans="1:6" ht="15.75">
      <c r="A19" s="175" t="s">
        <v>408</v>
      </c>
      <c r="B19" s="176"/>
      <c r="C19" s="179" t="s">
        <v>375</v>
      </c>
      <c r="D19" s="176" t="s">
        <v>409</v>
      </c>
      <c r="E19" s="180" t="s">
        <v>375</v>
      </c>
      <c r="F19" s="180" t="s">
        <v>375</v>
      </c>
    </row>
    <row r="20" spans="1:6" ht="15.75">
      <c r="A20" s="132" t="s">
        <v>410</v>
      </c>
      <c r="B20" s="135"/>
      <c r="C20" s="142">
        <f>'Annual Cash Flow'!D27</f>
        <v>30600</v>
      </c>
      <c r="D20" s="176" t="s">
        <v>375</v>
      </c>
      <c r="E20" s="181" t="s">
        <v>378</v>
      </c>
      <c r="F20" s="182" t="s">
        <v>379</v>
      </c>
    </row>
    <row r="21" spans="1:6" ht="15.75">
      <c r="A21" s="132" t="s">
        <v>411</v>
      </c>
      <c r="B21" s="135"/>
      <c r="C21" s="142">
        <f>'Annual Cash Flow'!D23</f>
        <v>2416286.2792081814</v>
      </c>
      <c r="D21" s="176" t="s">
        <v>412</v>
      </c>
      <c r="E21" s="180" t="s">
        <v>375</v>
      </c>
      <c r="F21" s="180" t="s">
        <v>375</v>
      </c>
    </row>
    <row r="22" spans="1:6" ht="15.75">
      <c r="A22" s="175" t="s">
        <v>413</v>
      </c>
      <c r="B22" s="176"/>
      <c r="C22" s="179" t="s">
        <v>375</v>
      </c>
      <c r="D22" s="176" t="s">
        <v>414</v>
      </c>
      <c r="E22" s="180" t="s">
        <v>375</v>
      </c>
      <c r="F22" s="180" t="s">
        <v>375</v>
      </c>
    </row>
    <row r="23" spans="1:6" ht="15.75">
      <c r="A23" s="132" t="s">
        <v>415</v>
      </c>
      <c r="B23" s="135"/>
      <c r="C23" s="142">
        <f>'Annual Cash Flow'!D37</f>
        <v>0</v>
      </c>
      <c r="D23" s="176" t="s">
        <v>416</v>
      </c>
      <c r="E23" s="180" t="s">
        <v>375</v>
      </c>
      <c r="F23" s="180" t="s">
        <v>375</v>
      </c>
    </row>
    <row r="24" spans="1:6" ht="16.5" thickBot="1">
      <c r="A24" s="132" t="s">
        <v>417</v>
      </c>
      <c r="B24" s="135"/>
      <c r="C24" s="142">
        <f>'Annual Cash Flow'!D29</f>
        <v>14111.517857142859</v>
      </c>
      <c r="D24" s="176"/>
      <c r="E24" s="181" t="s">
        <v>418</v>
      </c>
      <c r="F24" s="182" t="s">
        <v>419</v>
      </c>
    </row>
    <row r="25" spans="1:6" ht="16.5" thickBot="1">
      <c r="A25" s="132" t="s">
        <v>420</v>
      </c>
      <c r="B25" s="135"/>
      <c r="C25" s="142">
        <f>'Annual Cash Flow'!D33</f>
        <v>31365</v>
      </c>
      <c r="D25" s="135" t="s">
        <v>394</v>
      </c>
      <c r="E25" s="143">
        <f>SUM(E16:E19)+SUM(E21:E23)</f>
        <v>0</v>
      </c>
      <c r="F25" s="143">
        <f>SUM(F16:F19)+SUM(F21:F23)</f>
        <v>0</v>
      </c>
    </row>
    <row r="26" spans="1:6" ht="16.5" thickBot="1">
      <c r="A26" s="132" t="s">
        <v>421</v>
      </c>
      <c r="B26" s="135"/>
      <c r="C26" s="142">
        <f>'Annual Cash Flow'!D34</f>
        <v>-2440.5345653276204</v>
      </c>
      <c r="D26" s="135" t="s">
        <v>375</v>
      </c>
      <c r="E26" s="133"/>
      <c r="F26" s="139"/>
    </row>
    <row r="27" spans="1:6" ht="16.5" thickBot="1">
      <c r="A27" s="132" t="s">
        <v>422</v>
      </c>
      <c r="B27" s="135"/>
      <c r="C27" s="142">
        <f>'Annual Cash Flow'!D26</f>
        <v>122400</v>
      </c>
      <c r="D27" s="267" t="s">
        <v>423</v>
      </c>
      <c r="E27" s="267"/>
      <c r="F27" s="141">
        <f>'Depreciation Schedule'!F48</f>
        <v>183909.52380952376</v>
      </c>
    </row>
    <row r="28" spans="1:6" ht="16.5" thickBot="1">
      <c r="A28" s="132" t="s">
        <v>424</v>
      </c>
      <c r="B28" s="135"/>
      <c r="C28" s="142">
        <f>'Annual Cash Flow'!D25</f>
        <v>61200</v>
      </c>
      <c r="D28" s="267" t="s">
        <v>425</v>
      </c>
      <c r="E28" s="267"/>
      <c r="F28" s="141">
        <f>C39+E25-F25+F27</f>
        <v>2987120.2327380916</v>
      </c>
    </row>
    <row r="29" spans="1:6" ht="15.75">
      <c r="A29" s="175" t="s">
        <v>426</v>
      </c>
      <c r="B29" s="176"/>
      <c r="C29" s="179" t="s">
        <v>375</v>
      </c>
      <c r="D29" s="135" t="s">
        <v>375</v>
      </c>
      <c r="E29" s="133"/>
      <c r="F29" s="139"/>
    </row>
    <row r="30" spans="1:7" ht="16.5" thickBot="1">
      <c r="A30" s="132" t="s">
        <v>427</v>
      </c>
      <c r="B30" s="135"/>
      <c r="C30" s="142">
        <f>'Annual Cash Flow'!D35</f>
        <v>31569.000000000004</v>
      </c>
      <c r="D30" s="135"/>
      <c r="E30" s="133"/>
      <c r="F30" s="139"/>
      <c r="G30" s="2" t="s">
        <v>375</v>
      </c>
    </row>
    <row r="31" spans="1:6" ht="16.5" thickBot="1">
      <c r="A31" s="175" t="s">
        <v>428</v>
      </c>
      <c r="B31" s="176"/>
      <c r="C31" s="179" t="s">
        <v>375</v>
      </c>
      <c r="D31" s="273" t="s">
        <v>429</v>
      </c>
      <c r="E31" s="273"/>
      <c r="F31" s="141">
        <f>F13-F28</f>
        <v>161426.77620189078</v>
      </c>
    </row>
    <row r="32" spans="1:6" ht="15.75">
      <c r="A32" s="175" t="s">
        <v>430</v>
      </c>
      <c r="B32" s="176"/>
      <c r="C32" s="179" t="s">
        <v>375</v>
      </c>
      <c r="D32" s="135" t="s">
        <v>375</v>
      </c>
      <c r="E32" s="133" t="s">
        <v>375</v>
      </c>
      <c r="F32" s="139" t="s">
        <v>375</v>
      </c>
    </row>
    <row r="33" spans="1:7" ht="16.5" thickBot="1">
      <c r="A33" s="132" t="s">
        <v>431</v>
      </c>
      <c r="B33" s="135"/>
      <c r="C33" s="142">
        <f>'Annual Cash Flow'!D36</f>
        <v>20400</v>
      </c>
      <c r="D33" s="135"/>
      <c r="E33" s="133"/>
      <c r="F33" s="139"/>
      <c r="G33" s="2" t="s">
        <v>375</v>
      </c>
    </row>
    <row r="34" spans="1:6" ht="16.5" thickBot="1">
      <c r="A34" s="132" t="s">
        <v>432</v>
      </c>
      <c r="B34" s="135"/>
      <c r="C34" s="142">
        <f>'Annual Cash Flow'!D32</f>
        <v>29274</v>
      </c>
      <c r="D34" s="267" t="s">
        <v>433</v>
      </c>
      <c r="E34" s="267"/>
      <c r="F34" s="184">
        <v>0</v>
      </c>
    </row>
    <row r="35" spans="1:6" ht="16.5" thickBot="1">
      <c r="A35" s="132" t="s">
        <v>434</v>
      </c>
      <c r="B35" s="135"/>
      <c r="C35" s="142">
        <f>'Annual Cash Flow'!D29</f>
        <v>14111.517857142859</v>
      </c>
      <c r="D35" s="267" t="s">
        <v>435</v>
      </c>
      <c r="E35" s="267"/>
      <c r="F35" s="184">
        <v>0</v>
      </c>
    </row>
    <row r="36" spans="1:6" ht="16.5" thickBot="1">
      <c r="A36" s="132" t="s">
        <v>436</v>
      </c>
      <c r="B36" s="135"/>
      <c r="C36" s="142">
        <f>'Annual Cash Flow'!D30</f>
        <v>13933.928571428574</v>
      </c>
      <c r="D36" s="267" t="s">
        <v>437</v>
      </c>
      <c r="E36" s="267"/>
      <c r="F36" s="184">
        <f>F34-F35</f>
        <v>0</v>
      </c>
    </row>
    <row r="37" spans="1:6" ht="16.5" thickBot="1">
      <c r="A37" s="132" t="s">
        <v>438</v>
      </c>
      <c r="B37" s="135"/>
      <c r="C37" s="142">
        <f>'Annual Cash Flow'!D36+'Annual Cash Flow'!D38+'Annual Cash Flow'!D39+'Annual Cash Flow'!D40</f>
        <v>20400</v>
      </c>
      <c r="D37" s="135" t="s">
        <v>375</v>
      </c>
      <c r="E37" s="133"/>
      <c r="F37" s="185"/>
    </row>
    <row r="38" spans="1:9" ht="17.25" thickBot="1" thickTop="1">
      <c r="A38" s="132" t="s">
        <v>439</v>
      </c>
      <c r="B38" s="135"/>
      <c r="C38" s="144">
        <f>'Annual Cash Flow'!D21</f>
        <v>0</v>
      </c>
      <c r="D38" s="135"/>
      <c r="E38" s="133"/>
      <c r="F38" s="139"/>
      <c r="I38" s="109"/>
    </row>
    <row r="39" spans="1:6" ht="16.5" thickTop="1">
      <c r="A39" s="145" t="s">
        <v>440</v>
      </c>
      <c r="B39" s="146"/>
      <c r="C39" s="147">
        <f>SUM(C16:C38)</f>
        <v>2803210.708928568</v>
      </c>
      <c r="D39" s="272" t="s">
        <v>441</v>
      </c>
      <c r="E39" s="272"/>
      <c r="F39" s="148">
        <f>F31+F36</f>
        <v>161426.77620189078</v>
      </c>
    </row>
    <row r="41" ht="15.75">
      <c r="A41" s="2" t="s">
        <v>442</v>
      </c>
    </row>
    <row r="42" spans="1:3" ht="15.75">
      <c r="A42" s="2" t="s">
        <v>443</v>
      </c>
      <c r="C42" s="109">
        <f>Inputs!G14</f>
        <v>11200</v>
      </c>
    </row>
    <row r="43" spans="1:3" ht="15.75">
      <c r="A43" s="2" t="s">
        <v>444</v>
      </c>
      <c r="C43" s="149">
        <f>C13/C42</f>
        <v>281.1202686553556</v>
      </c>
    </row>
    <row r="44" spans="1:3" ht="15.75">
      <c r="A44" s="2" t="s">
        <v>445</v>
      </c>
      <c r="C44" s="149">
        <f>C39/C42</f>
        <v>250.2866704400507</v>
      </c>
    </row>
    <row r="45" spans="1:3" ht="15.75">
      <c r="A45" s="2" t="s">
        <v>446</v>
      </c>
      <c r="C45" s="149">
        <f>C43-C44</f>
        <v>30.833598215304875</v>
      </c>
    </row>
  </sheetData>
  <mergeCells count="11">
    <mergeCell ref="D35:E35"/>
    <mergeCell ref="D36:E36"/>
    <mergeCell ref="D39:E39"/>
    <mergeCell ref="D27:E27"/>
    <mergeCell ref="D28:E28"/>
    <mergeCell ref="D31:E31"/>
    <mergeCell ref="D34:E34"/>
    <mergeCell ref="A1:F1"/>
    <mergeCell ref="B2:D2"/>
    <mergeCell ref="D12:E12"/>
    <mergeCell ref="D13:E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5"/>
  <sheetViews>
    <sheetView workbookViewId="0" topLeftCell="A4">
      <pane xSplit="1" ySplit="1" topLeftCell="C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128" sqref="C128"/>
    </sheetView>
  </sheetViews>
  <sheetFormatPr defaultColWidth="8.796875" defaultRowHeight="15"/>
  <cols>
    <col min="1" max="1" width="24.3984375" style="2" customWidth="1"/>
    <col min="2" max="2" width="12.09765625" style="2" bestFit="1" customWidth="1"/>
    <col min="3" max="3" width="8.8984375" style="2" customWidth="1"/>
    <col min="4" max="4" width="9.8984375" style="2" bestFit="1" customWidth="1"/>
    <col min="5" max="7" width="8.8984375" style="2" customWidth="1"/>
    <col min="8" max="9" width="9" style="2" bestFit="1" customWidth="1"/>
    <col min="10" max="12" width="8.8984375" style="2" customWidth="1"/>
    <col min="13" max="13" width="8.296875" style="2" customWidth="1"/>
    <col min="14" max="14" width="10" style="2" customWidth="1"/>
    <col min="15" max="16384" width="8.8984375" style="2" customWidth="1"/>
  </cols>
  <sheetData>
    <row r="1" ht="15.75">
      <c r="A1" s="18" t="s">
        <v>127</v>
      </c>
    </row>
    <row r="3" ht="15.75">
      <c r="A3" s="18" t="s">
        <v>128</v>
      </c>
    </row>
    <row r="4" spans="1:14" s="18" customFormat="1" ht="15.75">
      <c r="A4" s="18" t="s">
        <v>16</v>
      </c>
      <c r="B4" s="19">
        <v>38718</v>
      </c>
      <c r="C4" s="19">
        <f>B4+31</f>
        <v>38749</v>
      </c>
      <c r="D4" s="19">
        <f>C4+29</f>
        <v>38778</v>
      </c>
      <c r="E4" s="19">
        <f>D4+31</f>
        <v>38809</v>
      </c>
      <c r="F4" s="19">
        <f>E4+30</f>
        <v>38839</v>
      </c>
      <c r="G4" s="19">
        <f>F4+31</f>
        <v>38870</v>
      </c>
      <c r="H4" s="19">
        <f>G4+30</f>
        <v>38900</v>
      </c>
      <c r="I4" s="19">
        <f>H4+31</f>
        <v>38931</v>
      </c>
      <c r="J4" s="19">
        <f>I4+31</f>
        <v>38962</v>
      </c>
      <c r="K4" s="19">
        <f>J4+30</f>
        <v>38992</v>
      </c>
      <c r="L4" s="19">
        <f>K4+31</f>
        <v>39023</v>
      </c>
      <c r="M4" s="19">
        <f>L4+30</f>
        <v>39053</v>
      </c>
      <c r="N4" s="35" t="s">
        <v>129</v>
      </c>
    </row>
    <row r="5" spans="1:14" ht="15.75">
      <c r="A5" s="18" t="s">
        <v>130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>
      <c r="A6" s="4" t="str">
        <f>Inputs!A$55</f>
        <v>Land</v>
      </c>
      <c r="B6" s="21">
        <v>0</v>
      </c>
      <c r="C6" s="21">
        <v>0</v>
      </c>
      <c r="D6" s="2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f>SUM(B6:M6)</f>
        <v>0</v>
      </c>
    </row>
    <row r="7" spans="1:14" ht="15.75">
      <c r="A7" s="4" t="str">
        <f>Inputs!A$56</f>
        <v>Construction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1">
        <f>SUM(B7:M7)</f>
        <v>0</v>
      </c>
    </row>
    <row r="8" spans="1:14" ht="15.75">
      <c r="A8" s="4" t="str">
        <f>Inputs!A$57</f>
        <v>Equipment 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f>SUM(B8:M8)</f>
        <v>0</v>
      </c>
    </row>
    <row r="9" spans="1:14" ht="15.75">
      <c r="A9" s="4" t="str">
        <f>Inputs!A$58</f>
        <v>Cattle Loans</v>
      </c>
      <c r="B9" s="2" t="s">
        <v>131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>
      <c r="A10" s="4" t="str">
        <f>Inputs!A$59</f>
        <v>Other loans (Overwrite)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4" t="str">
        <f>Inputs!A$60</f>
        <v>Other loans (Overwrite)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>
      <c r="A12" s="4" t="str">
        <f>Inputs!A$61</f>
        <v>Other loans (Overwrite)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4" t="s">
        <v>132</v>
      </c>
      <c r="B13" s="2">
        <f>SUM(B6:B12)</f>
        <v>0</v>
      </c>
      <c r="C13" s="21">
        <f aca="true" t="shared" si="0" ref="C13:N13">SUM(C6:C12)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</row>
    <row r="14" spans="1:14" ht="15.75">
      <c r="A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ht="15.75">
      <c r="A15" s="1" t="s">
        <v>133</v>
      </c>
    </row>
    <row r="16" spans="1:14" ht="15.75">
      <c r="A16" s="4" t="s">
        <v>338</v>
      </c>
      <c r="H16" s="2">
        <v>0</v>
      </c>
      <c r="I16" s="2">
        <f>Inventories!I$4</f>
        <v>400</v>
      </c>
      <c r="J16" s="2">
        <f>Inventories!J4</f>
        <v>400</v>
      </c>
      <c r="K16" s="2">
        <f>Inventories!K4</f>
        <v>600</v>
      </c>
      <c r="L16" s="2">
        <f>Inventories!L4</f>
        <v>400</v>
      </c>
      <c r="M16" s="2">
        <f>Inventories!M4</f>
        <v>400</v>
      </c>
      <c r="N16" s="21">
        <f>SUM(B16:M16)</f>
        <v>2200</v>
      </c>
    </row>
    <row r="17" spans="1:14" ht="15.75">
      <c r="A17" s="4" t="s">
        <v>334</v>
      </c>
      <c r="H17" s="2">
        <f>Inventories!H5</f>
        <v>400</v>
      </c>
      <c r="I17" s="2">
        <f>Inventories!I$5</f>
        <v>400</v>
      </c>
      <c r="J17" s="2">
        <f>Inventories!J5</f>
        <v>600</v>
      </c>
      <c r="K17" s="2">
        <f>Inventories!K5</f>
        <v>600</v>
      </c>
      <c r="L17" s="2">
        <f>Inventories!L5</f>
        <v>400</v>
      </c>
      <c r="M17" s="2">
        <f>Inventories!M5</f>
        <v>400</v>
      </c>
      <c r="N17" s="21">
        <f>SUM(B17:M17)</f>
        <v>2800</v>
      </c>
    </row>
    <row r="18" spans="1:14" ht="15.75">
      <c r="A18" s="4" t="s">
        <v>335</v>
      </c>
      <c r="H18" s="32">
        <f>Inputs!$B$69*'Prices and Spreads'!$D$13*'Prices and Spreads'!I$46</f>
        <v>0</v>
      </c>
      <c r="I18" s="32">
        <f>Inputs!$B$69*'Prices and Spreads'!$D$13*'Prices and Spreads'!J$46</f>
        <v>0</v>
      </c>
      <c r="J18" s="32">
        <f>Inputs!$B$69*'Prices and Spreads'!$D$13*'Prices and Spreads'!K$46</f>
        <v>0</v>
      </c>
      <c r="K18" s="32">
        <f>Inputs!$B$69*'Prices and Spreads'!$D$13*'Prices and Spreads'!L$45</f>
        <v>0</v>
      </c>
      <c r="L18" s="32">
        <f>Inputs!$B$69*'Prices and Spreads'!$D$13*'Prices and Spreads'!M$45</f>
        <v>0</v>
      </c>
      <c r="M18" s="32">
        <f>Inputs!$B$69*'Prices and Spreads'!$D$13*'Prices and Spreads'!N$45</f>
        <v>0</v>
      </c>
      <c r="N18" s="32">
        <f>(B16*B18+C16*C18+D16*D18+E16*E18+F16*F18+G16*G18+H16*H18+I16*I18+J16*J18+K16*K18+L16*L18+M16*M18)/N16</f>
        <v>0</v>
      </c>
    </row>
    <row r="19" spans="1:14" ht="15.75">
      <c r="A19" s="4" t="s">
        <v>336</v>
      </c>
      <c r="H19" s="32">
        <f>Inputs!$B$69*'Prices and Spreads'!$D$14*'Prices and Spreads'!I$47</f>
        <v>0</v>
      </c>
      <c r="I19" s="32">
        <f>Inputs!$B$69*'Prices and Spreads'!$D$14*'Prices and Spreads'!J$47</f>
        <v>0</v>
      </c>
      <c r="J19" s="32">
        <f>Inputs!$B$69*'Prices and Spreads'!$D$14*'Prices and Spreads'!K$47</f>
        <v>0</v>
      </c>
      <c r="K19" s="32">
        <f>Inputs!$B$69*'Prices and Spreads'!$D$14*'Prices and Spreads'!L$46</f>
        <v>0</v>
      </c>
      <c r="L19" s="32">
        <f>Inputs!$B$69*'Prices and Spreads'!$D$14*'Prices and Spreads'!M$46</f>
        <v>0</v>
      </c>
      <c r="M19" s="32">
        <f>Inputs!$B$69*'Prices and Spreads'!$D$14*'Prices and Spreads'!N$46</f>
        <v>0</v>
      </c>
      <c r="N19" s="32">
        <f>(B17*B19+C17*C19+D17*D19+E17*E19+F17*F19+G17*G19+H17*H19+I17*I19+J17*J19+K17*K19+L17*L19+M17*M19)/N17</f>
        <v>0</v>
      </c>
    </row>
    <row r="20" spans="1:14" ht="15.75">
      <c r="A20" s="4" t="s">
        <v>352</v>
      </c>
      <c r="H20" s="109">
        <f>Inputs!$B69*(H16*H18*'Prices and Spreads'!$J$4/100+H17*H19*'Prices and Spreads'!$K$4/100)</f>
        <v>0</v>
      </c>
      <c r="I20" s="109">
        <f>Inputs!$B69*(I16*I18*'Prices and Spreads'!$J$4/100+I17*I19*'Prices and Spreads'!$K$4/100)</f>
        <v>0</v>
      </c>
      <c r="J20" s="109">
        <f>Inputs!$B69*(J16*J18*'Prices and Spreads'!$J$4/100+J17*J19*'Prices and Spreads'!$K$4/100)</f>
        <v>0</v>
      </c>
      <c r="K20" s="109">
        <f>Inputs!$B69*(K16*K18*'Prices and Spreads'!$J$4/100+K17*K19*'Prices and Spreads'!$K$4/100)</f>
        <v>0</v>
      </c>
      <c r="L20" s="109">
        <f>Inputs!$B69*(L16*L18*'Prices and Spreads'!$J$4/100+L17*L19*'Prices and Spreads'!$K$4/100)</f>
        <v>0</v>
      </c>
      <c r="M20" s="109">
        <f>Inputs!$B69*(M16*M18*'Prices and Spreads'!$J$4/100+M17*M19*'Prices and Spreads'!$K$4/100)</f>
        <v>0</v>
      </c>
      <c r="N20" s="21">
        <f>SUM(B20:M20)</f>
        <v>0</v>
      </c>
    </row>
    <row r="21" spans="1:14" ht="15.75">
      <c r="A21" s="4" t="s">
        <v>339</v>
      </c>
      <c r="H21" s="109"/>
      <c r="I21" s="109"/>
      <c r="J21" s="109"/>
      <c r="K21" s="109"/>
      <c r="L21" s="109"/>
      <c r="M21" s="109"/>
      <c r="N21" s="21"/>
    </row>
    <row r="22" spans="1:14" ht="15.75">
      <c r="A22" s="4" t="s">
        <v>134</v>
      </c>
      <c r="B22" s="37">
        <f>Inventories!B$36*(1+Inputs!$B$71)</f>
        <v>0</v>
      </c>
      <c r="C22" s="37">
        <f>Inventories!C$36*(1+Inputs!$B$71)</f>
        <v>0</v>
      </c>
      <c r="D22" s="37">
        <f>Inventories!D$36*(1+Inputs!$B$71)</f>
        <v>0</v>
      </c>
      <c r="E22" s="37">
        <f>Inventories!E$36*(1+Inputs!$B$71)</f>
        <v>0</v>
      </c>
      <c r="F22" s="37">
        <f>Inventories!F$36*(1+Inputs!$B$71)</f>
        <v>0</v>
      </c>
      <c r="G22" s="37">
        <f>Inventories!G$36*(1+Inputs!$B$71)</f>
        <v>0</v>
      </c>
      <c r="H22" s="37">
        <f>Inventories!H$36*(1+Inputs!$B$71)</f>
        <v>24360.518870222262</v>
      </c>
      <c r="I22" s="37">
        <f>Inventories!I$36*(1+Inputs!$B$71)</f>
        <v>71700.70312323763</v>
      </c>
      <c r="J22" s="37">
        <f>Inventories!J$36*(1+Inputs!$B$71)</f>
        <v>115417.7739514993</v>
      </c>
      <c r="K22" s="37">
        <f>Inventories!K$36*(1+Inputs!$B$71)</f>
        <v>174883.97545048047</v>
      </c>
      <c r="L22" s="37">
        <f>Inventories!L$36*(1+Inputs!$B$71)</f>
        <v>212761.99436135005</v>
      </c>
      <c r="M22" s="37">
        <f>Inventories!M$36*(1+Inputs!$B$71)</f>
        <v>256184.24906728318</v>
      </c>
      <c r="N22" s="21">
        <f>SUM(B22:M22)</f>
        <v>855309.214824073</v>
      </c>
    </row>
    <row r="23" spans="1:14" ht="15.75">
      <c r="A23" s="2" t="s">
        <v>39</v>
      </c>
      <c r="B23" s="21">
        <v>0</v>
      </c>
      <c r="C23" s="21">
        <v>0</v>
      </c>
      <c r="D23" s="21">
        <v>0</v>
      </c>
      <c r="E23" s="21">
        <v>0</v>
      </c>
      <c r="F23" s="21">
        <f>Inputs!$B$72/12</f>
        <v>5000</v>
      </c>
      <c r="G23" s="21">
        <f>Inputs!$B$72/12</f>
        <v>5000</v>
      </c>
      <c r="H23" s="21">
        <f>Inputs!$B$72/12</f>
        <v>5000</v>
      </c>
      <c r="I23" s="21">
        <f>Inputs!$B$72/12</f>
        <v>5000</v>
      </c>
      <c r="J23" s="21">
        <f>Inputs!$B$72/12</f>
        <v>5000</v>
      </c>
      <c r="K23" s="21">
        <f>Inputs!$B$72/12</f>
        <v>5000</v>
      </c>
      <c r="L23" s="21">
        <f>Inputs!$B$72/12</f>
        <v>5000</v>
      </c>
      <c r="M23" s="21">
        <f>Inputs!$B$72/12</f>
        <v>5000</v>
      </c>
      <c r="N23" s="21">
        <f aca="true" t="shared" si="1" ref="N23:N38">SUM(B23:M23)</f>
        <v>40000</v>
      </c>
    </row>
    <row r="24" spans="1:14" ht="15.75">
      <c r="A24" s="4" t="s">
        <v>41</v>
      </c>
      <c r="B24" s="21">
        <v>0</v>
      </c>
      <c r="C24" s="21">
        <v>0</v>
      </c>
      <c r="D24" s="21">
        <v>0</v>
      </c>
      <c r="E24" s="21">
        <v>0</v>
      </c>
      <c r="F24" s="21">
        <f>0.05*Inputs!$B$73</f>
        <v>6000</v>
      </c>
      <c r="G24" s="21">
        <f>0.06*Inputs!$B$73</f>
        <v>7200</v>
      </c>
      <c r="H24" s="21">
        <f>0.06*Inputs!$B$73</f>
        <v>7200</v>
      </c>
      <c r="I24" s="21">
        <f>0.07*Inputs!$B$73</f>
        <v>8400</v>
      </c>
      <c r="J24" s="21">
        <f>1/12*Inputs!$B$73</f>
        <v>10000</v>
      </c>
      <c r="K24" s="21">
        <f>1/12*Inputs!$B$73</f>
        <v>10000</v>
      </c>
      <c r="L24" s="21">
        <f>1/12*Inputs!$B$73</f>
        <v>10000</v>
      </c>
      <c r="M24" s="21">
        <f>1/12*Inputs!$B$73</f>
        <v>10000</v>
      </c>
      <c r="N24" s="21">
        <f t="shared" si="1"/>
        <v>68800</v>
      </c>
    </row>
    <row r="25" spans="1:14" ht="15.75">
      <c r="A25" s="4" t="s">
        <v>43</v>
      </c>
      <c r="B25" s="21">
        <f>B24*Inputs!$C$74</f>
        <v>0</v>
      </c>
      <c r="C25" s="21">
        <f>C24*Inputs!$C$74</f>
        <v>0</v>
      </c>
      <c r="D25" s="21">
        <f>D24*Inputs!$C$74</f>
        <v>0</v>
      </c>
      <c r="E25" s="21">
        <f>E24*Inputs!$C$74</f>
        <v>0</v>
      </c>
      <c r="F25" s="21">
        <f>F24*Inputs!$C$74</f>
        <v>1500</v>
      </c>
      <c r="G25" s="21">
        <f>G24*Inputs!$C$74</f>
        <v>1800</v>
      </c>
      <c r="H25" s="21">
        <f>H24*Inputs!$C$74</f>
        <v>1800</v>
      </c>
      <c r="I25" s="21">
        <f>I24*Inputs!$C$74</f>
        <v>2100</v>
      </c>
      <c r="J25" s="21">
        <f>J24*Inputs!$C$74</f>
        <v>2500</v>
      </c>
      <c r="K25" s="21">
        <f>K24*Inputs!$C$74</f>
        <v>2500</v>
      </c>
      <c r="L25" s="21">
        <f>L24*Inputs!$C$74</f>
        <v>2500</v>
      </c>
      <c r="M25" s="21">
        <f>M24*Inputs!$C$74</f>
        <v>2500</v>
      </c>
      <c r="N25" s="21">
        <f t="shared" si="1"/>
        <v>17200</v>
      </c>
    </row>
    <row r="26" spans="1:14" ht="15.75">
      <c r="A26" s="2" t="s">
        <v>45</v>
      </c>
      <c r="B26" s="21">
        <f>'Prices and Spreads'!C$43*Inventories!B$17*Inputs!$B$75/12</f>
        <v>0</v>
      </c>
      <c r="C26" s="21">
        <f>'Prices and Spreads'!D$43*Inventories!C$17*Inputs!$B$75/12</f>
        <v>0</v>
      </c>
      <c r="D26" s="21">
        <f>'Prices and Spreads'!E$43*Inventories!D$17*Inputs!$B$75/12</f>
        <v>0</v>
      </c>
      <c r="E26" s="21">
        <f>'Prices and Spreads'!F$43*Inventories!E$17*Inputs!$B$75/12</f>
        <v>0</v>
      </c>
      <c r="F26" s="21">
        <f>'Prices and Spreads'!G$43*Inventories!F$17*Inputs!$B$75/12</f>
        <v>0</v>
      </c>
      <c r="G26" s="21">
        <f>'Prices and Spreads'!H$43*Inventories!G$17*Inputs!$B$75/12</f>
        <v>0</v>
      </c>
      <c r="H26" s="21">
        <f>'Prices and Spreads'!I$43*Inventories!H$17*Inputs!$B$75/12</f>
        <v>42.857142857142854</v>
      </c>
      <c r="I26" s="21">
        <f>'Prices and Spreads'!J$43*Inventories!I$17*Inputs!$B$75/12</f>
        <v>128.57142857142856</v>
      </c>
      <c r="J26" s="21">
        <f>'Prices and Spreads'!K$43*Inventories!J$17*Inputs!$B$75/12</f>
        <v>261.90476190476187</v>
      </c>
      <c r="K26" s="21">
        <f>'Prices and Spreads'!L$42*Inventories!K$17*Inputs!$B$75/12</f>
        <v>404.76190476190476</v>
      </c>
      <c r="L26" s="21">
        <f>'Prices and Spreads'!M$42*Inventories!L$17*Inputs!$B$75/12</f>
        <v>500</v>
      </c>
      <c r="M26" s="21">
        <f>'Prices and Spreads'!N$42*Inventories!M$17*Inputs!$B$75/12</f>
        <v>654.7619047619049</v>
      </c>
      <c r="N26" s="21">
        <f t="shared" si="1"/>
        <v>1992.8571428571431</v>
      </c>
    </row>
    <row r="27" spans="1:14" ht="15.75">
      <c r="A27" s="4" t="s">
        <v>46</v>
      </c>
      <c r="B27" s="21">
        <f>'Prices and Spreads'!C$44*Inventories!B$17*Inputs!$B$76/12</f>
        <v>0</v>
      </c>
      <c r="C27" s="21">
        <f>'Prices and Spreads'!D$44*Inventories!C$17*Inputs!$B$76/12</f>
        <v>0</v>
      </c>
      <c r="D27" s="21">
        <f>'Prices and Spreads'!E$44*Inventories!D$17*Inputs!$B$76/12</f>
        <v>0</v>
      </c>
      <c r="E27" s="21">
        <f>'Prices and Spreads'!F$44*Inventories!E$17*Inputs!$B$76/12</f>
        <v>0</v>
      </c>
      <c r="F27" s="21">
        <f>'Prices and Spreads'!G$44*Inventories!F$17*Inputs!$B$76/12</f>
        <v>0</v>
      </c>
      <c r="G27" s="21">
        <f>'Prices and Spreads'!H$44*Inventories!G$17*Inputs!$B$76/12</f>
        <v>0</v>
      </c>
      <c r="H27" s="21">
        <f>'Prices and Spreads'!I$44*Inventories!H$17*Inputs!$B$76/12</f>
        <v>62.49999999999999</v>
      </c>
      <c r="I27" s="21">
        <f>'Prices and Spreads'!J$44*Inventories!I$17*Inputs!$B$76/12</f>
        <v>187.5</v>
      </c>
      <c r="J27" s="21">
        <f>'Prices and Spreads'!K$44*Inventories!J$17*Inputs!$B$76/12</f>
        <v>343.74999999999994</v>
      </c>
      <c r="K27" s="21">
        <f>'Prices and Spreads'!L$43*Inventories!K$17*Inputs!$B$76/12</f>
        <v>758.9285714285714</v>
      </c>
      <c r="L27" s="21">
        <f>'Prices and Spreads'!M$43*Inventories!L$17*Inputs!$B$76/12</f>
        <v>1218.7500000000002</v>
      </c>
      <c r="M27" s="21">
        <f>'Prices and Spreads'!N$43*Inventories!M$17*Inputs!$B$76/12</f>
        <v>1450.892857142857</v>
      </c>
      <c r="N27" s="21">
        <f t="shared" si="1"/>
        <v>4022.3214285714284</v>
      </c>
    </row>
    <row r="28" spans="1:14" ht="15.75">
      <c r="A28" s="2" t="s">
        <v>47</v>
      </c>
      <c r="B28" s="21">
        <f>Inventories!B$17*Inputs!$B$77/12</f>
        <v>0</v>
      </c>
      <c r="C28" s="21">
        <f>Inventories!C$17*Inputs!$B$77/12</f>
        <v>0</v>
      </c>
      <c r="D28" s="21">
        <f>Inventories!D$17*Inputs!$B$77/12</f>
        <v>0</v>
      </c>
      <c r="E28" s="21">
        <f>Inventories!E$17*Inputs!$B$77/12</f>
        <v>0</v>
      </c>
      <c r="F28" s="21">
        <f>Inventories!F$17*Inputs!$B$77/12</f>
        <v>0</v>
      </c>
      <c r="G28" s="21">
        <f>Inventories!G$17*Inputs!$B$77/12</f>
        <v>0</v>
      </c>
      <c r="H28" s="21">
        <f>Inventories!H$17*Inputs!$B$77/12</f>
        <v>89.28571428571428</v>
      </c>
      <c r="I28" s="21">
        <f>Inventories!I$17*Inputs!$B$77/12</f>
        <v>267.85714285714283</v>
      </c>
      <c r="J28" s="21">
        <f>Inventories!J$17*Inputs!$B$77/12</f>
        <v>491.0714285714286</v>
      </c>
      <c r="K28" s="21">
        <f>Inventories!K$17*Inputs!$B$77/12</f>
        <v>758.9285714285714</v>
      </c>
      <c r="L28" s="21">
        <f>Inventories!L$17*Inputs!$B$77/12</f>
        <v>937.5</v>
      </c>
      <c r="M28" s="21">
        <f>Inventories!M$17*Inputs!$B$77/12</f>
        <v>1116.0714285714287</v>
      </c>
      <c r="N28" s="21">
        <f t="shared" si="1"/>
        <v>3660.7142857142862</v>
      </c>
    </row>
    <row r="29" spans="1:14" ht="15.75">
      <c r="A29" s="2" t="s">
        <v>48</v>
      </c>
      <c r="B29" s="21">
        <v>0</v>
      </c>
      <c r="C29" s="21">
        <v>0</v>
      </c>
      <c r="D29" s="21">
        <v>0</v>
      </c>
      <c r="E29" s="21">
        <v>0</v>
      </c>
      <c r="F29" s="21">
        <f>Inputs!$B$78/12</f>
        <v>250</v>
      </c>
      <c r="G29" s="21">
        <f>Inputs!$B$78/12</f>
        <v>250</v>
      </c>
      <c r="H29" s="21">
        <f>Inputs!$B$78/12</f>
        <v>250</v>
      </c>
      <c r="I29" s="21">
        <f>Inputs!$B$78/12</f>
        <v>250</v>
      </c>
      <c r="J29" s="21">
        <f>Inputs!$B$78/12</f>
        <v>250</v>
      </c>
      <c r="K29" s="21">
        <f>Inputs!$B$78/12</f>
        <v>250</v>
      </c>
      <c r="L29" s="21">
        <f>Inputs!$B$78/12</f>
        <v>250</v>
      </c>
      <c r="M29" s="21">
        <f>Inputs!$B$78/12</f>
        <v>250</v>
      </c>
      <c r="N29" s="21">
        <f t="shared" si="1"/>
        <v>2000</v>
      </c>
    </row>
    <row r="30" spans="1:14" ht="15.75">
      <c r="A30" s="4" t="s">
        <v>49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Inputs!$B$79/2</f>
        <v>14350</v>
      </c>
      <c r="K30" s="21">
        <v>0</v>
      </c>
      <c r="L30" s="21">
        <v>0</v>
      </c>
      <c r="M30" s="21">
        <v>0</v>
      </c>
      <c r="N30" s="21">
        <f t="shared" si="1"/>
        <v>14350</v>
      </c>
    </row>
    <row r="31" spans="1:14" ht="15.75">
      <c r="A31" s="4" t="s">
        <v>51</v>
      </c>
      <c r="B31" s="21">
        <v>0</v>
      </c>
      <c r="C31" s="21">
        <v>0</v>
      </c>
      <c r="D31" s="21">
        <v>0</v>
      </c>
      <c r="E31" s="21">
        <v>0</v>
      </c>
      <c r="F31" s="21">
        <f>Inputs!$B$80/12</f>
        <v>2562.5</v>
      </c>
      <c r="G31" s="21">
        <f>Inputs!$B$80/12</f>
        <v>2562.5</v>
      </c>
      <c r="H31" s="21">
        <f>Inputs!$B$80/12</f>
        <v>2562.5</v>
      </c>
      <c r="I31" s="21">
        <f>Inputs!$B$80/12</f>
        <v>2562.5</v>
      </c>
      <c r="J31" s="21">
        <f>Inputs!$B$80/12</f>
        <v>2562.5</v>
      </c>
      <c r="K31" s="21">
        <f>Inputs!$B$80/12</f>
        <v>2562.5</v>
      </c>
      <c r="L31" s="21">
        <f>Inputs!$B$80/12</f>
        <v>2562.5</v>
      </c>
      <c r="M31" s="21">
        <f>Inputs!$B$80/12</f>
        <v>2562.5</v>
      </c>
      <c r="N31" s="21">
        <f t="shared" si="1"/>
        <v>20500</v>
      </c>
    </row>
    <row r="32" spans="1:14" ht="15.75">
      <c r="A32" s="4" t="s">
        <v>447</v>
      </c>
      <c r="B32" s="21">
        <v>0</v>
      </c>
      <c r="C32" s="21">
        <f>-1*B53*Inputs!$D62/12</f>
        <v>0</v>
      </c>
      <c r="D32" s="21">
        <f>-1*C53*Inputs!$D62/12</f>
        <v>0</v>
      </c>
      <c r="E32" s="21">
        <f>-1*D53*Inputs!$D62/12</f>
        <v>0</v>
      </c>
      <c r="F32" s="21">
        <f>-1*E53*Inputs!$D62/12</f>
        <v>0</v>
      </c>
      <c r="G32" s="21">
        <f>-1*F53*Inputs!$D62/12</f>
        <v>-2817.621527777778</v>
      </c>
      <c r="H32" s="21">
        <f>-1*G53*Inputs!$D62/12</f>
        <v>-2726.2625144675926</v>
      </c>
      <c r="I32" s="21">
        <f>-1*H53*Inputs!$D62/12</f>
        <v>-2521.7337968368015</v>
      </c>
      <c r="J32" s="21">
        <f>-1*I53*Inputs!$D62/12</f>
        <v>-2212.9623849556306</v>
      </c>
      <c r="K32" s="21">
        <f>-1*J53*Inputs!$D62/12</f>
        <v>-1893.6192468498186</v>
      </c>
      <c r="L32" s="21">
        <f>-1*K53*Inputs!$D62/12</f>
        <v>-1643.8113121941972</v>
      </c>
      <c r="M32" s="21">
        <f>-1*L53*Inputs!$D62/12</f>
        <v>-1565.297568290974</v>
      </c>
      <c r="N32" s="21">
        <f t="shared" si="1"/>
        <v>-15381.308351372792</v>
      </c>
    </row>
    <row r="33" spans="1:14" ht="15.75">
      <c r="A33" s="11" t="s">
        <v>52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f>Inputs!$B$81/12</f>
        <v>2579.1666666666665</v>
      </c>
      <c r="J33" s="21">
        <f>Inputs!$B$81/12</f>
        <v>2579.1666666666665</v>
      </c>
      <c r="K33" s="21">
        <f>Inputs!$B$81/12</f>
        <v>2579.1666666666665</v>
      </c>
      <c r="L33" s="21">
        <f>Inputs!$B$81/12</f>
        <v>2579.1666666666665</v>
      </c>
      <c r="M33" s="21">
        <f>Inputs!$B$81/12</f>
        <v>2579.1666666666665</v>
      </c>
      <c r="N33" s="21">
        <f t="shared" si="1"/>
        <v>12895.833333333332</v>
      </c>
    </row>
    <row r="34" spans="1:14" ht="15.75">
      <c r="A34" s="11" t="s">
        <v>53</v>
      </c>
      <c r="B34" s="21">
        <v>0</v>
      </c>
      <c r="C34" s="21">
        <v>0</v>
      </c>
      <c r="D34" s="21">
        <v>0</v>
      </c>
      <c r="E34" s="21">
        <v>0</v>
      </c>
      <c r="F34" s="21">
        <f>Inputs!$B$82/12</f>
        <v>1666.6666666666667</v>
      </c>
      <c r="G34" s="21">
        <f>Inputs!$B$82/12</f>
        <v>1666.6666666666667</v>
      </c>
      <c r="H34" s="21">
        <f>Inputs!$B$82/12</f>
        <v>1666.6666666666667</v>
      </c>
      <c r="I34" s="21">
        <f>Inputs!$B$82/12</f>
        <v>1666.6666666666667</v>
      </c>
      <c r="J34" s="21">
        <f>Inputs!$B$82/12</f>
        <v>1666.6666666666667</v>
      </c>
      <c r="K34" s="21">
        <f>Inputs!$B$82/12</f>
        <v>1666.6666666666667</v>
      </c>
      <c r="L34" s="21">
        <f>Inputs!$B$82/12</f>
        <v>1666.6666666666667</v>
      </c>
      <c r="M34" s="21">
        <f>Inputs!$B$82/12</f>
        <v>1666.6666666666667</v>
      </c>
      <c r="N34" s="21">
        <f t="shared" si="1"/>
        <v>13333.333333333332</v>
      </c>
    </row>
    <row r="35" spans="1:14" ht="15.75">
      <c r="A35" s="11" t="s">
        <v>206</v>
      </c>
      <c r="B35" s="21">
        <v>0</v>
      </c>
      <c r="C35" s="21">
        <v>0</v>
      </c>
      <c r="D35" s="21">
        <v>0</v>
      </c>
      <c r="E35" s="21">
        <v>0</v>
      </c>
      <c r="F35" s="21">
        <f>Inputs!$B$83/12</f>
        <v>0</v>
      </c>
      <c r="G35" s="21">
        <f>Inputs!$B$83/12</f>
        <v>0</v>
      </c>
      <c r="H35" s="21">
        <f>Inputs!$B69*(H17*'Prices and Spreads'!$K$4/'Prices and Spreads'!$K$6*'Prices and Spreads'!$K$14+H16*'Prices and Spreads'!$J$4/'Prices and Spreads'!$J$6*'Prices and Spreads'!$J$14)</f>
        <v>0</v>
      </c>
      <c r="I35" s="21">
        <f>Inputs!$B69*(I17*'Prices and Spreads'!$K$4/'Prices and Spreads'!$K$6*'Prices and Spreads'!$K$14+I16*'Prices and Spreads'!$J$4/'Prices and Spreads'!$J$6*'Prices and Spreads'!$J$14)</f>
        <v>0</v>
      </c>
      <c r="J35" s="21">
        <f>Inputs!$B69*(J17*'Prices and Spreads'!$K$4/'Prices and Spreads'!$K$6*'Prices and Spreads'!$K$14+J16*'Prices and Spreads'!$J$4/'Prices and Spreads'!$J$6*'Prices and Spreads'!$J$14)</f>
        <v>0</v>
      </c>
      <c r="K35" s="21">
        <f>Inputs!$B69*(K17*'Prices and Spreads'!$K$4/'Prices and Spreads'!$K$6*'Prices and Spreads'!$K$14+K16*'Prices and Spreads'!$J$4/'Prices and Spreads'!$J$6*'Prices and Spreads'!$J$14)</f>
        <v>0</v>
      </c>
      <c r="L35" s="21">
        <f>Inputs!$B69*(L17*'Prices and Spreads'!$K$4/'Prices and Spreads'!$K$6*'Prices and Spreads'!$K$14+L16*'Prices and Spreads'!$J$4/'Prices and Spreads'!$J$6*'Prices and Spreads'!$J$14)</f>
        <v>0</v>
      </c>
      <c r="M35" s="21">
        <f>Inputs!$B69*(M17*'Prices and Spreads'!$K$4/'Prices and Spreads'!$K$6*'Prices and Spreads'!$K$14+M16*'Prices and Spreads'!$J$4/'Prices and Spreads'!$J$6*'Prices and Spreads'!$J$14)</f>
        <v>0</v>
      </c>
      <c r="N35" s="21">
        <f t="shared" si="1"/>
        <v>0</v>
      </c>
    </row>
    <row r="36" spans="1:14" ht="15.75">
      <c r="A36" s="11" t="s">
        <v>340</v>
      </c>
      <c r="B36" s="21">
        <v>0</v>
      </c>
      <c r="C36" s="21">
        <v>0</v>
      </c>
      <c r="D36" s="21">
        <v>0</v>
      </c>
      <c r="E36" s="21">
        <v>0</v>
      </c>
      <c r="F36" s="21">
        <f>Inputs!$B$84/12</f>
        <v>0</v>
      </c>
      <c r="G36" s="21">
        <f>Inputs!$B$84/12</f>
        <v>0</v>
      </c>
      <c r="H36" s="21">
        <f>Inputs!$B$84/12</f>
        <v>0</v>
      </c>
      <c r="I36" s="21">
        <f>Inputs!$B$84/12</f>
        <v>0</v>
      </c>
      <c r="J36" s="21">
        <f>Inputs!$B$84/12</f>
        <v>0</v>
      </c>
      <c r="K36" s="21">
        <f>Inputs!$B$84/12</f>
        <v>0</v>
      </c>
      <c r="L36" s="21">
        <f>Inputs!$B$84/12</f>
        <v>0</v>
      </c>
      <c r="M36" s="21">
        <f>Inputs!$B$84/12</f>
        <v>0</v>
      </c>
      <c r="N36" s="21">
        <f t="shared" si="1"/>
        <v>0</v>
      </c>
    </row>
    <row r="37" spans="1:14" ht="15.75">
      <c r="A37" s="11" t="s">
        <v>54</v>
      </c>
      <c r="B37" s="21">
        <v>0</v>
      </c>
      <c r="C37" s="21">
        <v>0</v>
      </c>
      <c r="D37" s="21">
        <v>0</v>
      </c>
      <c r="E37" s="21">
        <v>0</v>
      </c>
      <c r="F37" s="21">
        <f>Inputs!$B$85/12</f>
        <v>0</v>
      </c>
      <c r="G37" s="21">
        <f>Inputs!$B$85/12</f>
        <v>0</v>
      </c>
      <c r="H37" s="21">
        <f>Inputs!$B$85/12</f>
        <v>0</v>
      </c>
      <c r="I37" s="21">
        <f>Inputs!$B$85/12</f>
        <v>0</v>
      </c>
      <c r="J37" s="21">
        <f>Inputs!$B$85/12</f>
        <v>0</v>
      </c>
      <c r="K37" s="21">
        <f>Inputs!$B$85/12</f>
        <v>0</v>
      </c>
      <c r="L37" s="21">
        <f>Inputs!$B$85/12</f>
        <v>0</v>
      </c>
      <c r="M37" s="21">
        <f>Inputs!$B$85/12</f>
        <v>0</v>
      </c>
      <c r="N37" s="21">
        <f t="shared" si="1"/>
        <v>0</v>
      </c>
    </row>
    <row r="38" spans="1:14" ht="15.75">
      <c r="A38" s="11" t="s">
        <v>54</v>
      </c>
      <c r="B38" s="21">
        <v>0</v>
      </c>
      <c r="C38" s="21">
        <v>0</v>
      </c>
      <c r="D38" s="21">
        <v>0</v>
      </c>
      <c r="E38" s="21">
        <v>0</v>
      </c>
      <c r="F38" s="21">
        <f>Inputs!$B$86/12</f>
        <v>0</v>
      </c>
      <c r="G38" s="21">
        <f>Inputs!$B$86/12</f>
        <v>0</v>
      </c>
      <c r="H38" s="21">
        <f>Inputs!$B$86/12</f>
        <v>0</v>
      </c>
      <c r="I38" s="21">
        <f>Inputs!$B$86/12</f>
        <v>0</v>
      </c>
      <c r="J38" s="21">
        <f>Inputs!$B$86/12</f>
        <v>0</v>
      </c>
      <c r="K38" s="21">
        <f>Inputs!$B$86/12</f>
        <v>0</v>
      </c>
      <c r="L38" s="21">
        <f>Inputs!$B$86/12</f>
        <v>0</v>
      </c>
      <c r="M38" s="21">
        <f>Inputs!$B$86/12</f>
        <v>0</v>
      </c>
      <c r="N38" s="21">
        <f t="shared" si="1"/>
        <v>0</v>
      </c>
    </row>
    <row r="39" spans="1:14" ht="15.75">
      <c r="A39" s="14" t="s">
        <v>135</v>
      </c>
      <c r="B39" s="21">
        <f>SUM(B20:B38)</f>
        <v>0</v>
      </c>
      <c r="C39" s="21">
        <f aca="true" t="shared" si="2" ref="C39:N39">SUM(C20:C38)</f>
        <v>0</v>
      </c>
      <c r="D39" s="21">
        <f t="shared" si="2"/>
        <v>0</v>
      </c>
      <c r="E39" s="21">
        <f t="shared" si="2"/>
        <v>0</v>
      </c>
      <c r="F39" s="21">
        <f t="shared" si="2"/>
        <v>16979.166666666668</v>
      </c>
      <c r="G39" s="21">
        <f t="shared" si="2"/>
        <v>15661.545138888889</v>
      </c>
      <c r="H39" s="21">
        <f t="shared" si="2"/>
        <v>40308.0658795642</v>
      </c>
      <c r="I39" s="21">
        <f t="shared" si="2"/>
        <v>92321.23123116275</v>
      </c>
      <c r="J39" s="21">
        <f t="shared" si="2"/>
        <v>153209.87109035318</v>
      </c>
      <c r="K39" s="21">
        <f t="shared" si="2"/>
        <v>199471.30858458302</v>
      </c>
      <c r="L39" s="21">
        <f t="shared" si="2"/>
        <v>238332.76638248918</v>
      </c>
      <c r="M39" s="21">
        <f t="shared" si="2"/>
        <v>282399.01102280174</v>
      </c>
      <c r="N39" s="21">
        <f t="shared" si="2"/>
        <v>1038682.9659965099</v>
      </c>
    </row>
    <row r="40" spans="1:14" ht="15.75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.75">
      <c r="A41" s="14" t="s">
        <v>136</v>
      </c>
      <c r="B41" s="21">
        <f>B39+B13</f>
        <v>0</v>
      </c>
      <c r="C41" s="21">
        <f aca="true" t="shared" si="3" ref="C41:N41">C39+C13</f>
        <v>0</v>
      </c>
      <c r="D41" s="21">
        <f t="shared" si="3"/>
        <v>0</v>
      </c>
      <c r="E41" s="21">
        <f t="shared" si="3"/>
        <v>0</v>
      </c>
      <c r="F41" s="21">
        <f t="shared" si="3"/>
        <v>16979.166666666668</v>
      </c>
      <c r="G41" s="21">
        <f t="shared" si="3"/>
        <v>15661.545138888889</v>
      </c>
      <c r="H41" s="21">
        <f t="shared" si="3"/>
        <v>40308.0658795642</v>
      </c>
      <c r="I41" s="21">
        <f t="shared" si="3"/>
        <v>92321.23123116275</v>
      </c>
      <c r="J41" s="21">
        <f t="shared" si="3"/>
        <v>153209.87109035318</v>
      </c>
      <c r="K41" s="21">
        <f t="shared" si="3"/>
        <v>199471.30858458302</v>
      </c>
      <c r="L41" s="21">
        <f t="shared" si="3"/>
        <v>238332.76638248918</v>
      </c>
      <c r="M41" s="21">
        <f t="shared" si="3"/>
        <v>282399.01102280174</v>
      </c>
      <c r="N41" s="21">
        <f t="shared" si="3"/>
        <v>1038682.9659965099</v>
      </c>
    </row>
    <row r="43" ht="15.75">
      <c r="A43" s="18" t="s">
        <v>35</v>
      </c>
    </row>
    <row r="44" spans="1:14" ht="15.75">
      <c r="A44" s="2" t="s">
        <v>329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21">
        <f>SUM(B44:M44)</f>
        <v>0</v>
      </c>
    </row>
    <row r="45" spans="1:14" ht="15.75">
      <c r="A45" s="2" t="s">
        <v>137</v>
      </c>
      <c r="B45" s="21">
        <v>0</v>
      </c>
      <c r="C45" s="21">
        <v>0</v>
      </c>
      <c r="D45" s="21">
        <v>0</v>
      </c>
      <c r="E45" s="21">
        <f>IF(Inputs!$B$69=1,0,(IF(Inputs!$B$70=1,D22/(1+Inputs!$B$71),IF(Inputs!$B$70=2,C22/(1+Inputs!$B$71),B22/(1+Inputs!$B$71)))))</f>
        <v>0</v>
      </c>
      <c r="F45" s="21">
        <f>IF(Inputs!$B$69=1,0,(IF(Inputs!$B$70=1,E22/(1+Inputs!$B$71),IF(Inputs!$B$70=2,D22/(1+Inputs!$B$71),C22/(1+Inputs!$B$71)))))</f>
        <v>0</v>
      </c>
      <c r="G45" s="21">
        <f>IF(Inputs!$B$69=1,0,(IF(Inputs!$B$70=1,F22/(1+Inputs!$B$71),IF(Inputs!$B$70=2,E22/(1+Inputs!$B$71),D22/(1+Inputs!$B$71)))))</f>
        <v>0</v>
      </c>
      <c r="H45" s="21">
        <f>IF(Inputs!$B$69=1,0,(IF(Inputs!$B$70=1,G22/(1+Inputs!$B$71),IF(Inputs!$B$70=2,F22/(1+Inputs!$B$71),E22/(1+Inputs!$B$71)))))</f>
        <v>0</v>
      </c>
      <c r="I45" s="21">
        <f>(1-Inputs!$B$69)*(IF(Inputs!$B$70=1,H22/(1+Inputs!$B$71),IF(Inputs!$B$70=2,G22/(1+Inputs!$B$71),F22/(1+Inputs!$B$71))))</f>
        <v>23650.989194390546</v>
      </c>
      <c r="J45" s="21">
        <f>(1-Inputs!$B$69)*(IF(Inputs!$B$70=1,I22/(1+Inputs!$B$71),IF(Inputs!$B$70=2,H22/(1+Inputs!$B$71),G22/(1+Inputs!$B$71))))</f>
        <v>69612.33312935692</v>
      </c>
      <c r="K45" s="21">
        <f>(1-Inputs!$B$69)*(IF(Inputs!$B$70=1,J22/(1+Inputs!$B$71),IF(Inputs!$B$70=2,I22/(1+Inputs!$B$71),H22/(1+Inputs!$B$71))))</f>
        <v>112056.09121504787</v>
      </c>
      <c r="L45" s="21">
        <f>(1-Inputs!$B$69)*(IF(Inputs!$B$70=1,K22/(1+Inputs!$B$71),IF(Inputs!$B$70=2,J22/(1+Inputs!$B$71),I22/(1+Inputs!$B$71))))</f>
        <v>169790.26742765095</v>
      </c>
      <c r="M45" s="21">
        <f>(1-Inputs!$B$69)*(IF(Inputs!$B$70=1,L22/(1+Inputs!$B$71),IF(Inputs!$B$70=2,K22/(1+Inputs!$B$71),J22/(1+Inputs!$B$71))))</f>
        <v>206565.0430692719</v>
      </c>
      <c r="N45" s="21">
        <f>SUM(B45:M45)</f>
        <v>581674.7240357182</v>
      </c>
    </row>
    <row r="46" spans="1:14" ht="15.75">
      <c r="A46" s="2" t="s">
        <v>138</v>
      </c>
      <c r="B46" s="122">
        <f>(1-Inputs!$B$69)*(ROUNDUP((Inventories!B$7/Inputs!$G$10),0))*Inputs!$G$10*Inputs!$G$69*30.5</f>
        <v>0</v>
      </c>
      <c r="C46" s="122">
        <f>(1-Inputs!$B$69)*(ROUNDUP((Inventories!C$7/Inputs!$G$10),0))*Inputs!$G$10*Inputs!$G$69*30.5</f>
        <v>0</v>
      </c>
      <c r="D46" s="122">
        <f>(1-Inputs!$B$69)*(ROUNDUP((Inventories!D$7/Inputs!$G$10),0))*Inputs!$G$10*Inputs!$G$69*30.5</f>
        <v>0</v>
      </c>
      <c r="E46" s="122">
        <f>(1-Inputs!$B$69)*(ROUNDUP((Inventories!E$7/Inputs!$G$10),0))*Inputs!$G$10*Inputs!$G$69*30.5</f>
        <v>0</v>
      </c>
      <c r="F46" s="122">
        <f>(1-Inputs!$B$69)*(ROUNDUP((Inventories!F$7/Inputs!$G$10),0))*Inputs!$G$10*Inputs!$G$69*30.5</f>
        <v>0</v>
      </c>
      <c r="G46" s="122">
        <f>(1-Inputs!$B$69)*(ROUNDUP((Inventories!G$7/Inputs!$G$10),0))*Inputs!$G$10*Inputs!$G$69*30.5</f>
        <v>0</v>
      </c>
      <c r="H46" s="122">
        <f>(1-Inputs!$B$69)*(ROUNDUP((Inventories!H$7/Inputs!$G$10),0))*Inputs!$G$10*Inputs!$G$69*30.5</f>
        <v>5246</v>
      </c>
      <c r="I46" s="122">
        <f>(1-Inputs!$B$69)*(ROUNDUP((Inventories!I$7/Inputs!$G$10),0))*Inputs!$G$10*Inputs!$G$69*30.5</f>
        <v>15738</v>
      </c>
      <c r="J46" s="122">
        <f>(1-Inputs!$B$69)*(ROUNDUP((Inventories!J$7/Inputs!$G$10),0))*Inputs!$G$10*Inputs!$G$69*30.5</f>
        <v>28853</v>
      </c>
      <c r="K46" s="122">
        <f>(1-Inputs!$B$69)*(ROUNDUP((Inventories!K$7/Inputs!$G$10),0))*Inputs!$G$10*Inputs!$G$69*30.5</f>
        <v>44591</v>
      </c>
      <c r="L46" s="122">
        <f>(1-Inputs!$B$69)*(ROUNDUP((Inventories!L$7/Inputs!$G$10),0))*Inputs!$G$10*Inputs!$G$69*30.5</f>
        <v>55083</v>
      </c>
      <c r="M46" s="122">
        <f>(1-Inputs!$B$69)*(ROUNDUP((Inventories!M$7/Inputs!$G$10),0))*Inputs!$G$10*Inputs!$G$69*30.5</f>
        <v>65575</v>
      </c>
      <c r="N46" s="21">
        <f>SUM(B46:M46)</f>
        <v>215086</v>
      </c>
    </row>
    <row r="47" spans="1:14" ht="15.75">
      <c r="A47" s="2" t="s">
        <v>139</v>
      </c>
      <c r="B47" s="21">
        <f>(1-Inputs!$B$69)*(Inputs!$G$70*(Inventories!B$14*'Diets and Performance'!$C$30*30.5+Inventories!B$15*'Diets and Performance'!$D$30*31)/2000)</f>
        <v>0</v>
      </c>
      <c r="C47" s="21">
        <f>(1-Inputs!$B$69)*(Inputs!$G$70*(Inventories!C$14*'Diets and Performance'!$C$30*30.5+Inventories!C$15*'Diets and Performance'!$D$30*31)/2000)</f>
        <v>0</v>
      </c>
      <c r="D47" s="21">
        <f>(1-Inputs!$B$69)*(Inputs!$G$70*(Inventories!D$14*'Diets and Performance'!$C$30*30.5+Inventories!D$15*'Diets and Performance'!$D$30*31)/2000)</f>
        <v>0</v>
      </c>
      <c r="E47" s="21">
        <f>(1-Inputs!$B$69)*(Inputs!$G$70*(Inventories!E$14*'Diets and Performance'!$C$30*30.5+Inventories!E$15*'Diets and Performance'!$D$30*31)/2000)</f>
        <v>0</v>
      </c>
      <c r="F47" s="21">
        <f>(1-Inputs!$B$69)*(Inputs!$G$70*(Inventories!F$14*'Diets and Performance'!$C$30*30.5+Inventories!F$15*'Diets and Performance'!$D$30*31)/2000)</f>
        <v>0</v>
      </c>
      <c r="G47" s="21">
        <f>(1-Inputs!$B$69)*(Inputs!$G$70*(Inventories!G$14*'Diets and Performance'!$C$30*30.5+Inventories!G$15*'Diets and Performance'!$D$30*31)/2000)</f>
        <v>0</v>
      </c>
      <c r="H47" s="21">
        <f>(1-Inputs!$B$69)*(Inputs!$G$70*(Inventories!H$14*'Diets and Performance'!$C$30*30.5+Inventories!H$15*'Diets and Performance'!$D$30*31)/2000)</f>
        <v>0</v>
      </c>
      <c r="I47" s="21">
        <f>(1-Inputs!$B$69)*(Inputs!$G$70*(Inventories!I$14*'Diets and Performance'!$C$30*30.5+Inventories!I$15*'Diets and Performance'!$D$30*31)/2000)</f>
        <v>0</v>
      </c>
      <c r="J47" s="21">
        <f>(1-Inputs!$B$69)*(Inputs!$G$70*(Inventories!J$14*'Diets and Performance'!$C$30*30.5+Inventories!J$15*'Diets and Performance'!$D$30*31)/2000)</f>
        <v>0</v>
      </c>
      <c r="K47" s="21">
        <f>(1-Inputs!$B$69)*(Inputs!$G$70*(Inventories!K$14*'Diets and Performance'!$C$30*30.5+Inventories!K$15*'Diets and Performance'!$D$30*31)/2000)</f>
        <v>0</v>
      </c>
      <c r="L47" s="21">
        <f>(1-Inputs!$B$69)*(Inputs!$G$70*(Inventories!L$14*'Diets and Performance'!$C$30*30.5+Inventories!L$15*'Diets and Performance'!$D$30*31)/2000)</f>
        <v>0</v>
      </c>
      <c r="M47" s="21">
        <f>(1-Inputs!$B$69)*(Inputs!$G$70*(Inventories!M$14*'Diets and Performance'!$C$30*30.5+Inventories!M$15*'Diets and Performance'!$D$30*31)/2000)</f>
        <v>0</v>
      </c>
      <c r="N47" s="21">
        <f>SUM(B47:M47)</f>
        <v>0</v>
      </c>
    </row>
    <row r="48" spans="1:14" ht="15.75">
      <c r="A48" s="2" t="s">
        <v>140</v>
      </c>
      <c r="B48" s="21">
        <f>(1-Inputs!$B$69)*(Inventories!B14+Inventories!B15)*Inputs!$G$71</f>
        <v>0</v>
      </c>
      <c r="C48" s="21">
        <f>(1-Inputs!$B$69)*(Inventories!C14+Inventories!C15)*Inputs!$G$71</f>
        <v>0</v>
      </c>
      <c r="D48" s="21">
        <f>(1-Inputs!$B$69)*(Inventories!D14+Inventories!D15)*Inputs!$G$71</f>
        <v>0</v>
      </c>
      <c r="E48" s="21">
        <f>(1-Inputs!$B$69)*(Inventories!E14+Inventories!E15)*Inputs!$G$71</f>
        <v>0</v>
      </c>
      <c r="F48" s="21">
        <f>(1-Inputs!$B$69)*(Inventories!F14+Inventories!F15)*Inputs!$G$71</f>
        <v>0</v>
      </c>
      <c r="G48" s="21">
        <f>(1-Inputs!$B$69)*(Inventories!G14+Inventories!G15)*Inputs!$G$71</f>
        <v>0</v>
      </c>
      <c r="H48" s="21">
        <f>(1-Inputs!$B$69)*(Inventories!H14+Inventories!H15)*Inputs!$G$71</f>
        <v>0</v>
      </c>
      <c r="I48" s="21">
        <f>(1-Inputs!$B$69)*(Inventories!I14+Inventories!I15)*Inputs!$G$71</f>
        <v>0</v>
      </c>
      <c r="J48" s="21">
        <f>(1-Inputs!$B$69)*(Inventories!J14+Inventories!J15)*Inputs!$G$71</f>
        <v>0</v>
      </c>
      <c r="K48" s="21">
        <f>(1-Inputs!$B$69)*(Inventories!K14+Inventories!K15)*Inputs!$G$71</f>
        <v>0</v>
      </c>
      <c r="L48" s="21">
        <f>(1-Inputs!$B$69)*(Inventories!L14+Inventories!L15)*Inputs!$G$71</f>
        <v>0</v>
      </c>
      <c r="M48" s="21">
        <f>(1-Inputs!$B$69)*(Inventories!M14+Inventories!M15)*Inputs!$G$71</f>
        <v>0</v>
      </c>
      <c r="N48" s="21">
        <f>SUM(B48:M48)</f>
        <v>0</v>
      </c>
    </row>
    <row r="49" spans="1:14" ht="15.75">
      <c r="A49" s="18" t="s">
        <v>141</v>
      </c>
      <c r="B49" s="21">
        <f>SUM(B44:B48)</f>
        <v>0</v>
      </c>
      <c r="C49" s="21">
        <f aca="true" t="shared" si="4" ref="C49:N49">SUM(C44:C48)</f>
        <v>0</v>
      </c>
      <c r="D49" s="21">
        <f t="shared" si="4"/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5246</v>
      </c>
      <c r="I49" s="21">
        <f t="shared" si="4"/>
        <v>39388.989194390546</v>
      </c>
      <c r="J49" s="21">
        <f t="shared" si="4"/>
        <v>98465.33312935692</v>
      </c>
      <c r="K49" s="21">
        <f t="shared" si="4"/>
        <v>156647.09121504787</v>
      </c>
      <c r="L49" s="21">
        <f t="shared" si="4"/>
        <v>224873.26742765095</v>
      </c>
      <c r="M49" s="21">
        <f t="shared" si="4"/>
        <v>272140.0430692719</v>
      </c>
      <c r="N49" s="21">
        <f t="shared" si="4"/>
        <v>796760.7240357182</v>
      </c>
    </row>
    <row r="51" spans="1:14" ht="15.75">
      <c r="A51" s="18" t="s">
        <v>142</v>
      </c>
      <c r="B51" s="109">
        <f>B49-B41</f>
        <v>0</v>
      </c>
      <c r="C51" s="21">
        <f aca="true" t="shared" si="5" ref="C51:N51">C49-C41</f>
        <v>0</v>
      </c>
      <c r="D51" s="21">
        <f t="shared" si="5"/>
        <v>0</v>
      </c>
      <c r="E51" s="21">
        <f t="shared" si="5"/>
        <v>0</v>
      </c>
      <c r="F51" s="21">
        <f t="shared" si="5"/>
        <v>-16979.166666666668</v>
      </c>
      <c r="G51" s="21">
        <f t="shared" si="5"/>
        <v>-15661.545138888889</v>
      </c>
      <c r="H51" s="21">
        <f t="shared" si="5"/>
        <v>-35062.0658795642</v>
      </c>
      <c r="I51" s="21">
        <f t="shared" si="5"/>
        <v>-52932.2420367722</v>
      </c>
      <c r="J51" s="21">
        <f t="shared" si="5"/>
        <v>-54744.537960996255</v>
      </c>
      <c r="K51" s="21">
        <f t="shared" si="5"/>
        <v>-42824.21736953515</v>
      </c>
      <c r="L51" s="21">
        <f t="shared" si="5"/>
        <v>-13459.49895483823</v>
      </c>
      <c r="M51" s="21">
        <f t="shared" si="5"/>
        <v>-10258.96795352985</v>
      </c>
      <c r="N51" s="21">
        <f t="shared" si="5"/>
        <v>-241922.24196079164</v>
      </c>
    </row>
    <row r="53" spans="1:14" ht="15.75">
      <c r="A53" s="18" t="s">
        <v>143</v>
      </c>
      <c r="B53" s="21">
        <f>IF(B51&lt;0,1,0)*Inputs!$B$50+B51</f>
        <v>0</v>
      </c>
      <c r="C53" s="21">
        <f>(IF(B53=0,IF(C51&lt;0,1,0)*Inputs!$B$50+C51,B53+C51))*(1+Inputs!$D$56/12)</f>
        <v>0</v>
      </c>
      <c r="D53" s="21">
        <f>(IF(C53=0,IF(D51&lt;0,1,0)*Inputs!$B$50+D51,C53+D51))*(1+Inputs!$D$56/12)</f>
        <v>0</v>
      </c>
      <c r="E53" s="21">
        <f>(IF(D53=0,IF(E51&lt;0,1,0)*Inputs!$B$50+E51,D53+E51))*(1+Inputs!$D$56/12)</f>
        <v>0</v>
      </c>
      <c r="F53" s="21">
        <f>(IF(E53=0,IF(F51&lt;0,1,0)*Inputs!$B$46+F51,E53+F51))</f>
        <v>483020.8333333333</v>
      </c>
      <c r="G53" s="21">
        <f>(IF(F53=0,IF(G51&lt;0,1,0)*Inputs!$B$46+G51,F53+G51))</f>
        <v>467359.28819444444</v>
      </c>
      <c r="H53" s="21">
        <f>(IF(G53=0,IF(H51&lt;0,1,0)*Inputs!$B$46+H51,G53+H51))</f>
        <v>432297.22231488023</v>
      </c>
      <c r="I53" s="21">
        <f>(IF(H53=0,IF(I51&lt;0,1,0)*Inputs!$B$46+I51,H53+I51))</f>
        <v>379364.98027810804</v>
      </c>
      <c r="J53" s="21">
        <f>(IF(I53=0,IF(J51&lt;0,1,0)*Inputs!$B$46+J51,I53+J51))</f>
        <v>324620.44231711177</v>
      </c>
      <c r="K53" s="21">
        <f>(IF(J53=0,IF(K51&lt;0,1,0)*Inputs!$B$46+K51,J53+K51))</f>
        <v>281796.22494757664</v>
      </c>
      <c r="L53" s="21">
        <f>(IF(K53=0,IF(L51&lt;0,1,0)*Inputs!$B$46+L51,K53+L51))</f>
        <v>268336.7259927384</v>
      </c>
      <c r="M53" s="21">
        <f>(IF(L53=0,IF(M51&lt;0,1,0)*Inputs!$B$46+M51,L53+M51))</f>
        <v>258077.75803920854</v>
      </c>
      <c r="N53" s="21"/>
    </row>
    <row r="54" spans="4:13" ht="15.75"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6" s="18" customFormat="1" ht="15.75">
      <c r="A56" s="18" t="s">
        <v>128</v>
      </c>
    </row>
    <row r="57" spans="1:14" s="18" customFormat="1" ht="15.75">
      <c r="A57" s="18" t="s">
        <v>16</v>
      </c>
      <c r="B57" s="19">
        <f>B4+366</f>
        <v>39084</v>
      </c>
      <c r="C57" s="19">
        <f>B57+31</f>
        <v>39115</v>
      </c>
      <c r="D57" s="19">
        <f>C57+29</f>
        <v>39144</v>
      </c>
      <c r="E57" s="19">
        <f>D57+31</f>
        <v>39175</v>
      </c>
      <c r="F57" s="19">
        <f>E57+30</f>
        <v>39205</v>
      </c>
      <c r="G57" s="19">
        <f>F57+31</f>
        <v>39236</v>
      </c>
      <c r="H57" s="19">
        <f>G57+30</f>
        <v>39266</v>
      </c>
      <c r="I57" s="19">
        <f>H57+31</f>
        <v>39297</v>
      </c>
      <c r="J57" s="19">
        <f>I57+31</f>
        <v>39328</v>
      </c>
      <c r="K57" s="19">
        <f>J57+30</f>
        <v>39358</v>
      </c>
      <c r="L57" s="19">
        <f>K57+31</f>
        <v>39389</v>
      </c>
      <c r="M57" s="19">
        <f>L57+30</f>
        <v>39419</v>
      </c>
      <c r="N57" s="35" t="s">
        <v>129</v>
      </c>
    </row>
    <row r="58" spans="1:14" s="18" customFormat="1" ht="15.75">
      <c r="A58" s="18" t="s">
        <v>130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5"/>
    </row>
    <row r="59" spans="1:14" ht="15.75">
      <c r="A59" s="4" t="str">
        <f>Inputs!A$55</f>
        <v>Land</v>
      </c>
      <c r="B59" s="21">
        <f>B6</f>
        <v>0</v>
      </c>
      <c r="C59" s="21">
        <f aca="true" t="shared" si="6" ref="C59:M59">C6</f>
        <v>0</v>
      </c>
      <c r="D59" s="21">
        <f>IF(D$4&gt;=Inputs!$G$55,1,0)*-1*PMT(Inputs!$D$55,Inputs!$F$55,Inputs!$C$55)</f>
        <v>0</v>
      </c>
      <c r="E59" s="21">
        <f t="shared" si="6"/>
        <v>0</v>
      </c>
      <c r="F59" s="21">
        <f t="shared" si="6"/>
        <v>0</v>
      </c>
      <c r="G59" s="21">
        <f t="shared" si="6"/>
        <v>0</v>
      </c>
      <c r="H59" s="21">
        <f t="shared" si="6"/>
        <v>0</v>
      </c>
      <c r="I59" s="21">
        <f t="shared" si="6"/>
        <v>0</v>
      </c>
      <c r="J59" s="21">
        <f t="shared" si="6"/>
        <v>0</v>
      </c>
      <c r="K59" s="21">
        <f t="shared" si="6"/>
        <v>0</v>
      </c>
      <c r="L59" s="21">
        <f t="shared" si="6"/>
        <v>0</v>
      </c>
      <c r="M59" s="21">
        <f t="shared" si="6"/>
        <v>0</v>
      </c>
      <c r="N59" s="21">
        <f>SUM(B59:M59)</f>
        <v>0</v>
      </c>
    </row>
    <row r="60" spans="1:14" ht="15.75">
      <c r="A60" s="4" t="str">
        <f>Inputs!A$56</f>
        <v>Construction</v>
      </c>
      <c r="B60" s="21">
        <f>B7</f>
        <v>0</v>
      </c>
      <c r="C60" s="21">
        <f aca="true" t="shared" si="7" ref="C60:G61">C7</f>
        <v>0</v>
      </c>
      <c r="D60" s="21">
        <f t="shared" si="7"/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>IF(H$4&gt;=Inputs!$G$56,1,0)*-1*PMT(Inputs!$D$56/12,Inputs!$F$56,Inputs!$C$56)</f>
        <v>0</v>
      </c>
      <c r="I60" s="21">
        <f aca="true" t="shared" si="8" ref="I60:M61">I7</f>
        <v>0</v>
      </c>
      <c r="J60" s="21">
        <f t="shared" si="8"/>
        <v>0</v>
      </c>
      <c r="K60" s="21">
        <f t="shared" si="8"/>
        <v>0</v>
      </c>
      <c r="L60" s="21">
        <f t="shared" si="8"/>
        <v>0</v>
      </c>
      <c r="M60" s="21">
        <f t="shared" si="8"/>
        <v>0</v>
      </c>
      <c r="N60" s="21">
        <f>SUM(B60:M60)</f>
        <v>0</v>
      </c>
    </row>
    <row r="61" spans="1:14" ht="15.75">
      <c r="A61" s="4" t="str">
        <f>Inputs!A$57</f>
        <v>Equipment 1</v>
      </c>
      <c r="B61" s="21">
        <f>B8</f>
        <v>0</v>
      </c>
      <c r="C61" s="21">
        <f t="shared" si="7"/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>IF(H$4&gt;=Inputs!$G$57,1,0)*-1*PMT(Inputs!$D$57/12,Inputs!$F$57,Inputs!$C$57)</f>
        <v>0</v>
      </c>
      <c r="I61" s="21">
        <f t="shared" si="8"/>
        <v>0</v>
      </c>
      <c r="J61" s="21">
        <f t="shared" si="8"/>
        <v>0</v>
      </c>
      <c r="K61" s="21">
        <f t="shared" si="8"/>
        <v>0</v>
      </c>
      <c r="L61" s="21">
        <f t="shared" si="8"/>
        <v>0</v>
      </c>
      <c r="M61" s="21">
        <f t="shared" si="8"/>
        <v>0</v>
      </c>
      <c r="N61" s="21">
        <f>SUM(B61:M61)</f>
        <v>0</v>
      </c>
    </row>
    <row r="62" spans="1:14" ht="15.75">
      <c r="A62" s="4" t="str">
        <f>Inputs!A$58</f>
        <v>Cattle Loans</v>
      </c>
      <c r="B62" s="21" t="s">
        <v>144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.75">
      <c r="A63" s="4" t="str">
        <f>Inputs!A$59</f>
        <v>Other loans (Overwrite)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.75">
      <c r="A64" s="4" t="str">
        <f>Inputs!A$60</f>
        <v>Other loans (Overwrite)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.75">
      <c r="A65" s="4" t="str">
        <f>Inputs!A$61</f>
        <v>Other loans (Overwrite)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5.75">
      <c r="A66" s="4" t="s">
        <v>132</v>
      </c>
      <c r="B66" s="21">
        <f>SUM(B59:B65)</f>
        <v>0</v>
      </c>
      <c r="C66" s="21">
        <f aca="true" t="shared" si="9" ref="C66:N66">SUM(C59:C65)</f>
        <v>0</v>
      </c>
      <c r="D66" s="21">
        <f>SUM(D59:D65)</f>
        <v>0</v>
      </c>
      <c r="E66" s="21">
        <f t="shared" si="9"/>
        <v>0</v>
      </c>
      <c r="F66" s="21">
        <f t="shared" si="9"/>
        <v>0</v>
      </c>
      <c r="G66" s="21">
        <f t="shared" si="9"/>
        <v>0</v>
      </c>
      <c r="H66" s="21">
        <f t="shared" si="9"/>
        <v>0</v>
      </c>
      <c r="I66" s="21">
        <f t="shared" si="9"/>
        <v>0</v>
      </c>
      <c r="J66" s="21">
        <f t="shared" si="9"/>
        <v>0</v>
      </c>
      <c r="K66" s="21">
        <f t="shared" si="9"/>
        <v>0</v>
      </c>
      <c r="L66" s="21">
        <f t="shared" si="9"/>
        <v>0</v>
      </c>
      <c r="M66" s="21">
        <f t="shared" si="9"/>
        <v>0</v>
      </c>
      <c r="N66" s="21">
        <f t="shared" si="9"/>
        <v>0</v>
      </c>
    </row>
    <row r="67" spans="1:14" ht="15.75">
      <c r="A67" s="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ht="15.75">
      <c r="A68" s="1" t="s">
        <v>133</v>
      </c>
    </row>
    <row r="69" spans="1:14" ht="15.75">
      <c r="A69" s="4" t="s">
        <v>338</v>
      </c>
      <c r="B69" s="2">
        <f>Inventories!B$4</f>
        <v>400</v>
      </c>
      <c r="C69" s="2">
        <f>Inventories!C$4</f>
        <v>400</v>
      </c>
      <c r="D69" s="2">
        <f>Inventories!D$4</f>
        <v>400</v>
      </c>
      <c r="E69" s="2">
        <f>Inventories!E$4</f>
        <v>400</v>
      </c>
      <c r="F69" s="2">
        <f>Inventories!F$4</f>
        <v>400</v>
      </c>
      <c r="G69" s="2">
        <f>Inventories!G$4</f>
        <v>400</v>
      </c>
      <c r="H69" s="2">
        <f>Inventories!H$4</f>
        <v>400</v>
      </c>
      <c r="I69" s="2">
        <f>Inventories!I$4</f>
        <v>400</v>
      </c>
      <c r="J69" s="2">
        <f>Inventories!J$4</f>
        <v>400</v>
      </c>
      <c r="K69" s="2">
        <f>Inventories!K$4</f>
        <v>600</v>
      </c>
      <c r="L69" s="2">
        <f>Inventories!L$4</f>
        <v>400</v>
      </c>
      <c r="M69" s="2">
        <f>Inventories!M$4</f>
        <v>400</v>
      </c>
      <c r="N69" s="21">
        <f>SUM(B69:M69)</f>
        <v>5000</v>
      </c>
    </row>
    <row r="70" spans="1:14" ht="15.75">
      <c r="A70" s="4" t="s">
        <v>334</v>
      </c>
      <c r="B70" s="2">
        <f>Inventories!B$5</f>
        <v>400</v>
      </c>
      <c r="C70" s="2">
        <f>Inventories!C$5</f>
        <v>400</v>
      </c>
      <c r="D70" s="2">
        <f>Inventories!D$5</f>
        <v>400</v>
      </c>
      <c r="E70" s="2">
        <f>Inventories!E$5</f>
        <v>400</v>
      </c>
      <c r="F70" s="2">
        <f>Inventories!F$5</f>
        <v>400</v>
      </c>
      <c r="G70" s="2">
        <f>Inventories!G$5</f>
        <v>400</v>
      </c>
      <c r="H70" s="2">
        <f>Inventories!H$5</f>
        <v>400</v>
      </c>
      <c r="I70" s="2">
        <f>Inventories!I$5</f>
        <v>400</v>
      </c>
      <c r="J70" s="2">
        <f>Inventories!J$5</f>
        <v>600</v>
      </c>
      <c r="K70" s="2">
        <f>Inventories!K$5</f>
        <v>600</v>
      </c>
      <c r="L70" s="2">
        <f>Inventories!L$5</f>
        <v>400</v>
      </c>
      <c r="M70" s="2">
        <f>Inventories!M$5</f>
        <v>400</v>
      </c>
      <c r="N70" s="21">
        <f>SUM(B70:M70)</f>
        <v>5200</v>
      </c>
    </row>
    <row r="71" spans="1:14" ht="15.75">
      <c r="A71" s="4" t="s">
        <v>335</v>
      </c>
      <c r="B71" s="32">
        <f>Inputs!$B$69*'Prices and Spreads'!$E$13*'Prices and Spreads'!C46</f>
        <v>0</v>
      </c>
      <c r="C71" s="32">
        <f>Inputs!$B$69*'Prices and Spreads'!$E$13*'Prices and Spreads'!D46</f>
        <v>0</v>
      </c>
      <c r="D71" s="32">
        <f>Inputs!$B$69*'Prices and Spreads'!$E$13*'Prices and Spreads'!E46</f>
        <v>0</v>
      </c>
      <c r="E71" s="32">
        <f>Inputs!$B$69*'Prices and Spreads'!$E$13*'Prices and Spreads'!F46</f>
        <v>0</v>
      </c>
      <c r="F71" s="32">
        <f>Inputs!$B$69*'Prices and Spreads'!$E$13*'Prices and Spreads'!G46</f>
        <v>0</v>
      </c>
      <c r="G71" s="32">
        <f>Inputs!$B$69*'Prices and Spreads'!$E$13*'Prices and Spreads'!H46</f>
        <v>0</v>
      </c>
      <c r="H71" s="32">
        <f>Inputs!$B$69*'Prices and Spreads'!$E$13*'Prices and Spreads'!I46</f>
        <v>0</v>
      </c>
      <c r="I71" s="32">
        <f>Inputs!$B$69*'Prices and Spreads'!$E$13*'Prices and Spreads'!J46</f>
        <v>0</v>
      </c>
      <c r="J71" s="32">
        <f>Inputs!$B$69*'Prices and Spreads'!$E$13*'Prices and Spreads'!K46</f>
        <v>0</v>
      </c>
      <c r="K71" s="32">
        <f>Inputs!$B$69*'Prices and Spreads'!$E$13*'Prices and Spreads'!L45</f>
        <v>0</v>
      </c>
      <c r="L71" s="32">
        <f>Inputs!$B$69*'Prices and Spreads'!$E$13*'Prices and Spreads'!M45</f>
        <v>0</v>
      </c>
      <c r="M71" s="32">
        <f>Inputs!$B$69*'Prices and Spreads'!$E$13*'Prices and Spreads'!N45</f>
        <v>0</v>
      </c>
      <c r="N71" s="32">
        <f>(B69*B71+C69*C71+D69*D71+E69*E71+F69*F71+G69*G71+H69*H71+I69*I71+J69*J71+K69*K71+L69*L71+M69*M71)/N69</f>
        <v>0</v>
      </c>
    </row>
    <row r="72" spans="1:14" ht="15.75">
      <c r="A72" s="4" t="s">
        <v>336</v>
      </c>
      <c r="B72" s="32">
        <f>Inputs!$B$69*'Prices and Spreads'!$E$14*'Prices and Spreads'!C47</f>
        <v>0</v>
      </c>
      <c r="C72" s="32">
        <f>Inputs!$B$69*'Prices and Spreads'!$E$14*'Prices and Spreads'!D47</f>
        <v>0</v>
      </c>
      <c r="D72" s="32">
        <f>Inputs!$B$69*'Prices and Spreads'!$E$14*'Prices and Spreads'!E47</f>
        <v>0</v>
      </c>
      <c r="E72" s="32">
        <f>Inputs!$B$69*'Prices and Spreads'!$E$14*'Prices and Spreads'!F47</f>
        <v>0</v>
      </c>
      <c r="F72" s="32">
        <f>Inputs!$B$69*'Prices and Spreads'!$E$14*'Prices and Spreads'!G47</f>
        <v>0</v>
      </c>
      <c r="G72" s="32">
        <f>Inputs!$B$69*'Prices and Spreads'!$E$14*'Prices and Spreads'!H47</f>
        <v>0</v>
      </c>
      <c r="H72" s="32">
        <f>Inputs!$B$69*'Prices and Spreads'!$E$14*'Prices and Spreads'!I47</f>
        <v>0</v>
      </c>
      <c r="I72" s="32">
        <f>Inputs!$B$69*'Prices and Spreads'!$E$14*'Prices and Spreads'!J47</f>
        <v>0</v>
      </c>
      <c r="J72" s="32">
        <f>Inputs!$B$69*'Prices and Spreads'!$E$14*'Prices and Spreads'!K47</f>
        <v>0</v>
      </c>
      <c r="K72" s="32">
        <f>Inputs!$B$69*'Prices and Spreads'!$E$14*'Prices and Spreads'!L46</f>
        <v>0</v>
      </c>
      <c r="L72" s="32">
        <f>Inputs!$B$69*'Prices and Spreads'!$E$14*'Prices and Spreads'!M46</f>
        <v>0</v>
      </c>
      <c r="M72" s="32">
        <f>Inputs!$B$69*'Prices and Spreads'!$E$14*'Prices and Spreads'!N46</f>
        <v>0</v>
      </c>
      <c r="N72" s="32">
        <f>(B70*B72+C70*C72+D70*D72+E70*E72+F70*F72+G70*G72+H70*H72+I70*I72+J70*J72+K70*K72+L70*L72+M70*M72)/N70</f>
        <v>0</v>
      </c>
    </row>
    <row r="73" spans="1:14" ht="15.75">
      <c r="A73" s="4" t="s">
        <v>328</v>
      </c>
      <c r="B73" s="109">
        <f>Inputs!$B69*B69*B71*'Prices and Spreads'!$J$4/100+B70*B72*'Prices and Spreads'!$K$4/100</f>
        <v>0</v>
      </c>
      <c r="C73" s="109">
        <f>Inputs!$B69*C69*C71*'Prices and Spreads'!$J$4/100+C70*C72*'Prices and Spreads'!$K$4/100</f>
        <v>0</v>
      </c>
      <c r="D73" s="109">
        <f>Inputs!$B69*D69*D71*'Prices and Spreads'!$J$4/100+D70*D72*'Prices and Spreads'!$K$4/100</f>
        <v>0</v>
      </c>
      <c r="E73" s="109">
        <f>Inputs!$B69*E69*E71*'Prices and Spreads'!$J$4/100+E70*E72*'Prices and Spreads'!$K$4/100</f>
        <v>0</v>
      </c>
      <c r="F73" s="109">
        <f>Inputs!$B69*F69*F71*'Prices and Spreads'!$J$4/100+F70*F72*'Prices and Spreads'!$K$4/100</f>
        <v>0</v>
      </c>
      <c r="G73" s="109">
        <f>Inputs!$B69*G69*G71*'Prices and Spreads'!$J$4/100+G70*G72*'Prices and Spreads'!$K$4/100</f>
        <v>0</v>
      </c>
      <c r="H73" s="109">
        <f>Inputs!$B69*H69*H71*'Prices and Spreads'!$J$4/100+H70*H72*'Prices and Spreads'!$K$4/100</f>
        <v>0</v>
      </c>
      <c r="I73" s="109">
        <f>Inputs!$B69*I69*I71*'Prices and Spreads'!$J$4/100+I70*I72*'Prices and Spreads'!$K$4/100</f>
        <v>0</v>
      </c>
      <c r="J73" s="109">
        <f>Inputs!$B69*J69*J71*'Prices and Spreads'!$J$4/100+J70*J72*'Prices and Spreads'!$K$4/100</f>
        <v>0</v>
      </c>
      <c r="K73" s="109">
        <f>Inputs!$B69*K69*K71*'Prices and Spreads'!$J$4/100+K70*K72*'Prices and Spreads'!$K$4/100</f>
        <v>0</v>
      </c>
      <c r="L73" s="109">
        <f>Inputs!$B69*L69*L71*'Prices and Spreads'!$J$4/100+L70*L72*'Prices and Spreads'!$K$4/100</f>
        <v>0</v>
      </c>
      <c r="M73" s="109">
        <f>Inputs!$B69*M69*M71*'Prices and Spreads'!$J$4/100+M70*M72*'Prices and Spreads'!$K$4/100</f>
        <v>0</v>
      </c>
      <c r="N73" s="21">
        <f>SUM(B73:M73)</f>
        <v>0</v>
      </c>
    </row>
    <row r="74" spans="1:14" ht="15.75">
      <c r="A74" s="4" t="s">
        <v>339</v>
      </c>
      <c r="B74" s="109">
        <f>Inputs!$B69*(G16*G18*'Prices and Spreads'!$J$4/100*'Prices and Spreads'!$J$7/365+H17*H19*'Prices and Spreads'!$K$4/100*'Prices and Spreads'!$K$7/365)*Inputs!$D$58</f>
        <v>0</v>
      </c>
      <c r="C74" s="109">
        <f>Inputs!$B69*(H16*H18*'Prices and Spreads'!$J$4/100*'Prices and Spreads'!$J$7/365+I17*I19*'Prices and Spreads'!$K$4/100*'Prices and Spreads'!$K$7/365)*Inputs!$D$58</f>
        <v>0</v>
      </c>
      <c r="D74" s="109">
        <f>Inputs!$B69*(I16*I18*'Prices and Spreads'!$J$4/100*'Prices and Spreads'!$J$7/365+J17*J19*'Prices and Spreads'!$K$4/100*'Prices and Spreads'!$K$7/365)*Inputs!$D$58</f>
        <v>0</v>
      </c>
      <c r="E74" s="109">
        <f>Inputs!$B69*(J16*J18*'Prices and Spreads'!$J$4/100*'Prices and Spreads'!$J$7/365+K17*K19*'Prices and Spreads'!$K$4/100*'Prices and Spreads'!$K$7/365)*Inputs!$D$58</f>
        <v>0</v>
      </c>
      <c r="F74" s="109">
        <f>Inputs!$B69*(K16*K18*'Prices and Spreads'!$J$4/100*'Prices and Spreads'!$J$7/365+L17*L19*'Prices and Spreads'!$K$4/100*'Prices and Spreads'!$K$7/365)*Inputs!$D$58</f>
        <v>0</v>
      </c>
      <c r="G74" s="109">
        <f>Inputs!$B69*(L16*L18*'Prices and Spreads'!$J$4/100*'Prices and Spreads'!$J$7/365+M17*M19*'Prices and Spreads'!$K$4/100*'Prices and Spreads'!$K$7/365)*Inputs!$D$58</f>
        <v>0</v>
      </c>
      <c r="H74" s="109">
        <f>Inputs!$B69*(M16*M18*'Prices and Spreads'!$J$4/100*'Prices and Spreads'!$J$7/365+N17*N19*'Prices and Spreads'!$K$4/100*'Prices and Spreads'!$K$7/365)*Inputs!$D$58</f>
        <v>0</v>
      </c>
      <c r="I74" s="109">
        <f>Inputs!$B69*(B69*B71*'Prices and Spreads'!$J$4/100*'Prices and Spreads'!$J$7/365+C70*C72*'Prices and Spreads'!$K$4/100*'Prices and Spreads'!$K$7/365)*Inputs!$D$58</f>
        <v>0</v>
      </c>
      <c r="J74" s="109">
        <f>Inputs!$B69*(C69*C71*'Prices and Spreads'!$J$4/100*'Prices and Spreads'!$J$7/365+D70*D72*'Prices and Spreads'!$K$4/100*'Prices and Spreads'!$K$7/365)*Inputs!$D$58</f>
        <v>0</v>
      </c>
      <c r="K74" s="109">
        <f>Inputs!$B69*(D69*D71*'Prices and Spreads'!$J$4/100*'Prices and Spreads'!$J$7/365+E70*E72*'Prices and Spreads'!$K$4/100*'Prices and Spreads'!$K$7/365)*Inputs!$D$58</f>
        <v>0</v>
      </c>
      <c r="L74" s="109">
        <f>Inputs!$B69*(E69*E71*'Prices and Spreads'!$J$4/100*'Prices and Spreads'!$J$7/365+F70*F72*'Prices and Spreads'!$K$4/100*'Prices and Spreads'!$K$7/365)*Inputs!$D$58</f>
        <v>0</v>
      </c>
      <c r="M74" s="109">
        <f>Inputs!$B69*(F69*F71*'Prices and Spreads'!$J$4/100*'Prices and Spreads'!$J$7/365+G70*G72*'Prices and Spreads'!$K$4/100*'Prices and Spreads'!$K$7/365)*Inputs!$D$58</f>
        <v>0</v>
      </c>
      <c r="N74" s="21">
        <f>SUM(B74:M74)</f>
        <v>0</v>
      </c>
    </row>
    <row r="75" spans="1:14" ht="15.75">
      <c r="A75" s="4" t="s">
        <v>134</v>
      </c>
      <c r="B75" s="37">
        <f>Inventories!B$65*(1+Inputs!$B$71)</f>
        <v>205356.031905548</v>
      </c>
      <c r="C75" s="37">
        <f>Inventories!C$65*(1+Inputs!$B$71)</f>
        <v>210906.651467673</v>
      </c>
      <c r="D75" s="37">
        <f>Inventories!D$65*(1+Inputs!$B$71)</f>
        <v>206004.4521903193</v>
      </c>
      <c r="E75" s="37">
        <f>Inventories!E$65*(1+Inputs!$B$71)</f>
        <v>193074.59357314464</v>
      </c>
      <c r="F75" s="37">
        <f>Inventories!F$65*(1+Inputs!$B$71)</f>
        <v>196117.0273379066</v>
      </c>
      <c r="G75" s="37">
        <f>Inventories!G$65*(1+Inputs!$B$71)</f>
        <v>202118.03082769437</v>
      </c>
      <c r="H75" s="37">
        <f>Inventories!H$65*(1+Inputs!$B$71)</f>
        <v>205202.39661232452</v>
      </c>
      <c r="I75" s="37">
        <f>Inventories!I$65*(1+Inputs!$B$71)</f>
        <v>213206.83521297673</v>
      </c>
      <c r="J75" s="37">
        <f>Inventories!J$65*(1+Inputs!$B$71)</f>
        <v>188269.06313086272</v>
      </c>
      <c r="K75" s="37">
        <f>Inventories!K$65*(1+Inputs!$B$71)</f>
        <v>199805.41234342312</v>
      </c>
      <c r="L75" s="37">
        <f>Inventories!L$65*(1+Inputs!$B$71)</f>
        <v>196325.7603746218</v>
      </c>
      <c r="M75" s="37">
        <f>Inventories!M$65*(1+Inputs!$B$71)</f>
        <v>199900.0242316868</v>
      </c>
      <c r="N75" s="21">
        <f>SUM(B75:M75)</f>
        <v>2416286.2792081814</v>
      </c>
    </row>
    <row r="76" spans="1:14" ht="15.75">
      <c r="A76" s="2" t="s">
        <v>39</v>
      </c>
      <c r="B76" s="21">
        <f>Inputs!$B$72/12</f>
        <v>5000</v>
      </c>
      <c r="C76" s="21">
        <f>Inputs!$B$72/12</f>
        <v>5000</v>
      </c>
      <c r="D76" s="21">
        <f>Inputs!$B$72/12</f>
        <v>5000</v>
      </c>
      <c r="E76" s="21">
        <f>Inputs!$B$72/12</f>
        <v>5000</v>
      </c>
      <c r="F76" s="21">
        <f>Inputs!$B$72/12</f>
        <v>5000</v>
      </c>
      <c r="G76" s="21">
        <f>Inputs!$B$72/12</f>
        <v>5000</v>
      </c>
      <c r="H76" s="21">
        <f>Inputs!$B$72/12</f>
        <v>5000</v>
      </c>
      <c r="I76" s="21">
        <f>Inputs!$B$72/12</f>
        <v>5000</v>
      </c>
      <c r="J76" s="21">
        <f>Inputs!$B$72/12</f>
        <v>5000</v>
      </c>
      <c r="K76" s="21">
        <f>Inputs!$B$72/12</f>
        <v>5000</v>
      </c>
      <c r="L76" s="21">
        <f>Inputs!$B$72/12</f>
        <v>5000</v>
      </c>
      <c r="M76" s="21">
        <f>Inputs!$B$72/12</f>
        <v>5000</v>
      </c>
      <c r="N76" s="21">
        <f aca="true" t="shared" si="10" ref="N76:N91">SUM(B76:M76)</f>
        <v>60000</v>
      </c>
    </row>
    <row r="77" spans="1:14" ht="15.75">
      <c r="A77" s="4" t="s">
        <v>41</v>
      </c>
      <c r="B77" s="21">
        <f>1/12*Inputs!$B$73</f>
        <v>10000</v>
      </c>
      <c r="C77" s="21">
        <f>1/12*Inputs!$B$73</f>
        <v>10000</v>
      </c>
      <c r="D77" s="21">
        <f>1/12*Inputs!$B$73</f>
        <v>10000</v>
      </c>
      <c r="E77" s="21">
        <f>1/12*Inputs!$B$73</f>
        <v>10000</v>
      </c>
      <c r="F77" s="21">
        <f>1/12*Inputs!$B$73</f>
        <v>10000</v>
      </c>
      <c r="G77" s="21">
        <f>1/12*Inputs!$B$73</f>
        <v>10000</v>
      </c>
      <c r="H77" s="21">
        <f>1/12*Inputs!$B$73</f>
        <v>10000</v>
      </c>
      <c r="I77" s="21">
        <f>1/12*Inputs!$B$73</f>
        <v>10000</v>
      </c>
      <c r="J77" s="21">
        <f>1/12*Inputs!$B$73</f>
        <v>10000</v>
      </c>
      <c r="K77" s="21">
        <f>1/12*Inputs!$B$73</f>
        <v>10000</v>
      </c>
      <c r="L77" s="21">
        <f>1/12*Inputs!$B$73</f>
        <v>10000</v>
      </c>
      <c r="M77" s="21">
        <f>1/12*Inputs!$B$73</f>
        <v>10000</v>
      </c>
      <c r="N77" s="21">
        <f t="shared" si="10"/>
        <v>120000</v>
      </c>
    </row>
    <row r="78" spans="1:14" ht="15.75">
      <c r="A78" s="4" t="s">
        <v>43</v>
      </c>
      <c r="B78" s="21">
        <f>B77*Inputs!$C$74</f>
        <v>2500</v>
      </c>
      <c r="C78" s="21">
        <f>C77*Inputs!$C$74</f>
        <v>2500</v>
      </c>
      <c r="D78" s="21">
        <f>D77*Inputs!$C$74</f>
        <v>2500</v>
      </c>
      <c r="E78" s="21">
        <f>E77*Inputs!$C$74</f>
        <v>2500</v>
      </c>
      <c r="F78" s="21">
        <f>F77*Inputs!$C$74</f>
        <v>2500</v>
      </c>
      <c r="G78" s="21">
        <f>G77*Inputs!$C$74</f>
        <v>2500</v>
      </c>
      <c r="H78" s="21">
        <f>H77*Inputs!$C$74</f>
        <v>2500</v>
      </c>
      <c r="I78" s="21">
        <f>I77*Inputs!$C$74</f>
        <v>2500</v>
      </c>
      <c r="J78" s="21">
        <f>J77*Inputs!$C$74</f>
        <v>2500</v>
      </c>
      <c r="K78" s="21">
        <f>K77*Inputs!$C$74</f>
        <v>2500</v>
      </c>
      <c r="L78" s="21">
        <f>L77*Inputs!$C$74</f>
        <v>2500</v>
      </c>
      <c r="M78" s="21">
        <f>M77*Inputs!$C$74</f>
        <v>2500</v>
      </c>
      <c r="N78" s="21">
        <f t="shared" si="10"/>
        <v>30000</v>
      </c>
    </row>
    <row r="79" spans="1:14" ht="15.75">
      <c r="A79" s="2" t="s">
        <v>45</v>
      </c>
      <c r="B79" s="21">
        <f>'Prices and Spreads'!C$43*Inventories!B$46*Inputs!$B$75/12</f>
        <v>707.1428571428572</v>
      </c>
      <c r="C79" s="21">
        <f>'Prices and Spreads'!D$43*Inventories!C$46*Inputs!$B$75/12</f>
        <v>707.1428571428572</v>
      </c>
      <c r="D79" s="21">
        <f>'Prices and Spreads'!E$43*Inventories!D$46*Inputs!$B$75/12</f>
        <v>680.9523809523811</v>
      </c>
      <c r="E79" s="21">
        <f>'Prices and Spreads'!F$43*Inventories!E$46*Inputs!$B$75/12</f>
        <v>571.4285714285714</v>
      </c>
      <c r="F79" s="21">
        <f>'Prices and Spreads'!G$43*Inventories!F$46*Inputs!$B$75/12</f>
        <v>514.2857142857142</v>
      </c>
      <c r="G79" s="21">
        <f>'Prices and Spreads'!H$43*Inventories!G$46*Inputs!$B$75/12</f>
        <v>514.2857142857142</v>
      </c>
      <c r="H79" s="21">
        <f>'Prices and Spreads'!I$43*Inventories!H$46*Inputs!$B$75/12</f>
        <v>514.2857142857142</v>
      </c>
      <c r="I79" s="21">
        <f>'Prices and Spreads'!J$43*Inventories!I$46*Inputs!$B$75/12</f>
        <v>514.2857142857142</v>
      </c>
      <c r="J79" s="21">
        <f>'Prices and Spreads'!K$43*Inventories!J$46*Inputs!$B$75/12</f>
        <v>595.2380952380953</v>
      </c>
      <c r="K79" s="21">
        <f>'Prices and Spreads'!L$42*Inventories!K$46*Inputs!$B$75/12</f>
        <v>642.8571428571429</v>
      </c>
      <c r="L79" s="21">
        <f>'Prices and Spreads'!M$42*Inventories!L$46*Inputs!$B$75/12</f>
        <v>642.8571428571429</v>
      </c>
      <c r="M79" s="21">
        <f>'Prices and Spreads'!N$42*Inventories!M$46*Inputs!$B$75/12</f>
        <v>707.1428571428572</v>
      </c>
      <c r="N79" s="21">
        <f t="shared" si="10"/>
        <v>7311.9047619047615</v>
      </c>
    </row>
    <row r="80" spans="1:14" ht="15.75">
      <c r="A80" s="4" t="s">
        <v>46</v>
      </c>
      <c r="B80" s="21">
        <f>'Prices and Spreads'!C$44*Inventories!B$46*Inputs!$B$76/12</f>
        <v>1566.9642857142856</v>
      </c>
      <c r="C80" s="21">
        <f>'Prices and Spreads'!D$44*Inventories!C$46*Inputs!$B$76/12</f>
        <v>1566.9642857142856</v>
      </c>
      <c r="D80" s="21">
        <f>'Prices and Spreads'!E$44*Inventories!D$46*Inputs!$B$76/12</f>
        <v>1508.9285714285716</v>
      </c>
      <c r="E80" s="21">
        <f>'Prices and Spreads'!F$44*Inventories!E$46*Inputs!$B$76/12</f>
        <v>1071.4285714285713</v>
      </c>
      <c r="F80" s="21">
        <f>'Prices and Spreads'!G$44*Inventories!F$46*Inputs!$B$76/12</f>
        <v>750</v>
      </c>
      <c r="G80" s="21">
        <f>'Prices and Spreads'!H$44*Inventories!G$46*Inputs!$B$76/12</f>
        <v>750</v>
      </c>
      <c r="H80" s="21">
        <f>'Prices and Spreads'!I$44*Inventories!H$46*Inputs!$B$76/12</f>
        <v>750</v>
      </c>
      <c r="I80" s="21">
        <f>'Prices and Spreads'!J$44*Inventories!I$46*Inputs!$B$76/12</f>
        <v>750</v>
      </c>
      <c r="J80" s="21">
        <f>'Prices and Spreads'!K$44*Inventories!J$46*Inputs!$B$76/12</f>
        <v>781.25</v>
      </c>
      <c r="K80" s="21">
        <f>'Prices and Spreads'!L$43*Inventories!K$46*Inputs!$B$76/12</f>
        <v>1205.357142857143</v>
      </c>
      <c r="L80" s="21">
        <f>'Prices and Spreads'!M$43*Inventories!L$46*Inputs!$B$76/12</f>
        <v>1566.9642857142856</v>
      </c>
      <c r="M80" s="21">
        <f>'Prices and Spreads'!N$43*Inventories!M$46*Inputs!$B$76/12</f>
        <v>1566.9642857142856</v>
      </c>
      <c r="N80" s="21">
        <f t="shared" si="10"/>
        <v>13834.82142857143</v>
      </c>
    </row>
    <row r="81" spans="1:14" ht="15.75">
      <c r="A81" s="2" t="s">
        <v>47</v>
      </c>
      <c r="B81" s="21">
        <f>Inventories!B$46*Inputs!$B$77/12</f>
        <v>1205.357142857143</v>
      </c>
      <c r="C81" s="21">
        <f>Inventories!C$46*Inputs!$B$77/12</f>
        <v>1205.357142857143</v>
      </c>
      <c r="D81" s="21">
        <f>Inventories!D$46*Inputs!$B$77/12</f>
        <v>1160.7142857142858</v>
      </c>
      <c r="E81" s="21">
        <f>Inventories!E$46*Inputs!$B$77/12</f>
        <v>1071.4285714285713</v>
      </c>
      <c r="F81" s="21">
        <f>Inventories!F$46*Inputs!$B$77/12</f>
        <v>1071.4285714285713</v>
      </c>
      <c r="G81" s="21">
        <f>Inventories!G$46*Inputs!$B$77/12</f>
        <v>1071.4285714285713</v>
      </c>
      <c r="H81" s="21">
        <f>Inventories!H$46*Inputs!$B$77/12</f>
        <v>1071.4285714285713</v>
      </c>
      <c r="I81" s="21">
        <f>Inventories!I$46*Inputs!$B$77/12</f>
        <v>1071.4285714285713</v>
      </c>
      <c r="J81" s="21">
        <f>Inventories!J$46*Inputs!$B$77/12</f>
        <v>1116.0714285714287</v>
      </c>
      <c r="K81" s="21">
        <f>Inventories!K$46*Inputs!$B$77/12</f>
        <v>1205.357142857143</v>
      </c>
      <c r="L81" s="21">
        <f>Inventories!L$46*Inputs!$B$77/12</f>
        <v>1205.357142857143</v>
      </c>
      <c r="M81" s="21">
        <f>Inventories!M$46*Inputs!$B$77/12</f>
        <v>1205.357142857143</v>
      </c>
      <c r="N81" s="21">
        <f t="shared" si="10"/>
        <v>13660.714285714288</v>
      </c>
    </row>
    <row r="82" spans="1:14" ht="15.75">
      <c r="A82" s="2" t="s">
        <v>48</v>
      </c>
      <c r="B82" s="21">
        <f>Inputs!$B$78/12</f>
        <v>250</v>
      </c>
      <c r="C82" s="21">
        <f>Inputs!$B$78/12</f>
        <v>250</v>
      </c>
      <c r="D82" s="21">
        <f>Inputs!$B$78/12</f>
        <v>250</v>
      </c>
      <c r="E82" s="21">
        <f>Inputs!$B$78/12</f>
        <v>250</v>
      </c>
      <c r="F82" s="21">
        <f>Inputs!$B$78/12</f>
        <v>250</v>
      </c>
      <c r="G82" s="21">
        <f>Inputs!$B$78/12</f>
        <v>250</v>
      </c>
      <c r="H82" s="21">
        <f>Inputs!$B$78/12</f>
        <v>250</v>
      </c>
      <c r="I82" s="21">
        <f>Inputs!$B$78/12</f>
        <v>250</v>
      </c>
      <c r="J82" s="21">
        <f>Inputs!$B$78/12</f>
        <v>250</v>
      </c>
      <c r="K82" s="21">
        <f>Inputs!$B$78/12</f>
        <v>250</v>
      </c>
      <c r="L82" s="21">
        <f>Inputs!$B$78/12</f>
        <v>250</v>
      </c>
      <c r="M82" s="21">
        <f>Inputs!$B$78/12</f>
        <v>250</v>
      </c>
      <c r="N82" s="21">
        <f>SUM(B82:M82)</f>
        <v>3000</v>
      </c>
    </row>
    <row r="83" spans="1:14" ht="15.75">
      <c r="A83" s="4" t="s">
        <v>49</v>
      </c>
      <c r="B83" s="21">
        <v>0</v>
      </c>
      <c r="C83" s="21">
        <v>0</v>
      </c>
      <c r="D83" s="21">
        <f>Inputs!$B$79/2</f>
        <v>14350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Inputs!$B$79/2</f>
        <v>14350</v>
      </c>
      <c r="K83" s="21">
        <v>0</v>
      </c>
      <c r="L83" s="21">
        <v>0</v>
      </c>
      <c r="M83" s="21">
        <v>0</v>
      </c>
      <c r="N83" s="21">
        <f t="shared" si="10"/>
        <v>28700</v>
      </c>
    </row>
    <row r="84" spans="1:14" ht="15.75">
      <c r="A84" s="4" t="s">
        <v>51</v>
      </c>
      <c r="B84" s="21">
        <f>Inputs!$B$80/12</f>
        <v>2562.5</v>
      </c>
      <c r="C84" s="21">
        <f>Inputs!$B$80/12</f>
        <v>2562.5</v>
      </c>
      <c r="D84" s="21">
        <f>Inputs!$B$80/12</f>
        <v>2562.5</v>
      </c>
      <c r="E84" s="21">
        <f>Inputs!$B$80/12</f>
        <v>2562.5</v>
      </c>
      <c r="F84" s="21">
        <f>Inputs!$B$80/12</f>
        <v>2562.5</v>
      </c>
      <c r="G84" s="21">
        <f>Inputs!$B$80/12</f>
        <v>2562.5</v>
      </c>
      <c r="H84" s="21">
        <f>Inputs!$B$80/12</f>
        <v>2562.5</v>
      </c>
      <c r="I84" s="21">
        <f>Inputs!$B$80/12</f>
        <v>2562.5</v>
      </c>
      <c r="J84" s="21">
        <f>Inputs!$B$80/12</f>
        <v>2562.5</v>
      </c>
      <c r="K84" s="21">
        <f>Inputs!$B$80/12</f>
        <v>2562.5</v>
      </c>
      <c r="L84" s="21">
        <f>Inputs!$B$80/12</f>
        <v>2562.5</v>
      </c>
      <c r="M84" s="21">
        <f>Inputs!$B$80/12</f>
        <v>2562.5</v>
      </c>
      <c r="N84" s="21">
        <f t="shared" si="10"/>
        <v>30750</v>
      </c>
    </row>
    <row r="85" spans="1:14" ht="15.75">
      <c r="A85" s="4" t="s">
        <v>448</v>
      </c>
      <c r="B85" s="21">
        <f>-1*M53*Inputs!$D62/12</f>
        <v>-1505.4535885620498</v>
      </c>
      <c r="C85" s="21">
        <f>-1*B106*Inputs!$D62/12</f>
        <v>-2016.7755650767588</v>
      </c>
      <c r="D85" s="21">
        <f>-1*C106*Inputs!$D62/12</f>
        <v>-194.06400262765706</v>
      </c>
      <c r="E85" s="21">
        <f>-1*D106*Inputs!$D62/12</f>
        <v>-145.2057980909824</v>
      </c>
      <c r="F85" s="21">
        <f>-1*E106*Inputs!$D62/12</f>
        <v>-249.40017487116907</v>
      </c>
      <c r="G85" s="21">
        <f>-1*F106*Inputs!$D62/12</f>
        <v>-161.2414238132636</v>
      </c>
      <c r="H85" s="21">
        <f>-1*G106*Inputs!$D62/12</f>
        <v>-142.951922678018</v>
      </c>
      <c r="I85" s="21">
        <f>-1*H106*Inputs!$D62/12</f>
        <v>-158.83936589658256</v>
      </c>
      <c r="J85" s="21">
        <f>-1*I106*Inputs!$D62/12</f>
        <v>-129.707575158164</v>
      </c>
      <c r="K85" s="21">
        <f>-1*J106*Inputs!$D62/12</f>
        <v>-251.01812737395426</v>
      </c>
      <c r="L85" s="21">
        <f>-1*K106*Inputs!$D62/12</f>
        <v>-154.2344953762068</v>
      </c>
      <c r="M85" s="21">
        <f>-1*L106*Inputs!$D62/12</f>
        <v>-237.19383008193196</v>
      </c>
      <c r="N85" s="21">
        <f t="shared" si="10"/>
        <v>-5346.085869606737</v>
      </c>
    </row>
    <row r="86" spans="1:14" ht="15.75">
      <c r="A86" s="11" t="s">
        <v>52</v>
      </c>
      <c r="B86" s="21">
        <f>Inputs!$B$81/12</f>
        <v>2579.1666666666665</v>
      </c>
      <c r="C86" s="21">
        <f>Inputs!$B$81/12</f>
        <v>2579.1666666666665</v>
      </c>
      <c r="D86" s="21">
        <f>Inputs!$B$81/12</f>
        <v>2579.1666666666665</v>
      </c>
      <c r="E86" s="21">
        <f>Inputs!$B$81/12</f>
        <v>2579.1666666666665</v>
      </c>
      <c r="F86" s="21">
        <f>Inputs!$B$81/12</f>
        <v>2579.1666666666665</v>
      </c>
      <c r="G86" s="21">
        <f>Inputs!$B$81/12</f>
        <v>2579.1666666666665</v>
      </c>
      <c r="H86" s="21">
        <f>Inputs!$B$81/12</f>
        <v>2579.1666666666665</v>
      </c>
      <c r="I86" s="21">
        <f>Inputs!$B$81/12</f>
        <v>2579.1666666666665</v>
      </c>
      <c r="J86" s="21">
        <f>Inputs!$B$81/12</f>
        <v>2579.1666666666665</v>
      </c>
      <c r="K86" s="21">
        <f>Inputs!$B$81/12</f>
        <v>2579.1666666666665</v>
      </c>
      <c r="L86" s="21">
        <f>Inputs!$B$81/12</f>
        <v>2579.1666666666665</v>
      </c>
      <c r="M86" s="21">
        <f>Inputs!$B$81/12</f>
        <v>2579.1666666666665</v>
      </c>
      <c r="N86" s="21">
        <f t="shared" si="10"/>
        <v>30950.000000000004</v>
      </c>
    </row>
    <row r="87" spans="1:14" ht="15.75">
      <c r="A87" s="11" t="s">
        <v>53</v>
      </c>
      <c r="B87" s="21">
        <f>Inputs!$B$82/12</f>
        <v>1666.6666666666667</v>
      </c>
      <c r="C87" s="21">
        <f>Inputs!$B$82/12</f>
        <v>1666.6666666666667</v>
      </c>
      <c r="D87" s="21">
        <f>Inputs!$B$82/12</f>
        <v>1666.6666666666667</v>
      </c>
      <c r="E87" s="21">
        <f>Inputs!$B$82/12</f>
        <v>1666.6666666666667</v>
      </c>
      <c r="F87" s="21">
        <f>Inputs!$B$82/12</f>
        <v>1666.6666666666667</v>
      </c>
      <c r="G87" s="21">
        <f>Inputs!$B$82/12</f>
        <v>1666.6666666666667</v>
      </c>
      <c r="H87" s="21">
        <f>Inputs!$B$82/12</f>
        <v>1666.6666666666667</v>
      </c>
      <c r="I87" s="21">
        <f>Inputs!$B$82/12</f>
        <v>1666.6666666666667</v>
      </c>
      <c r="J87" s="21">
        <f>Inputs!$B$82/12</f>
        <v>1666.6666666666667</v>
      </c>
      <c r="K87" s="21">
        <f>Inputs!$B$82/12</f>
        <v>1666.6666666666667</v>
      </c>
      <c r="L87" s="21">
        <f>Inputs!$B$82/12</f>
        <v>1666.6666666666667</v>
      </c>
      <c r="M87" s="21">
        <f>Inputs!$B$82/12</f>
        <v>1666.6666666666667</v>
      </c>
      <c r="N87" s="21">
        <f t="shared" si="10"/>
        <v>20000</v>
      </c>
    </row>
    <row r="88" spans="1:14" ht="15.75">
      <c r="A88" s="11" t="s">
        <v>347</v>
      </c>
      <c r="B88" s="21">
        <f>Inputs!$B69*(B69+B70+H17+G16)*('Prices and Spreads'!$J$14+'Prices and Spreads'!$K$14)/4</f>
        <v>0</v>
      </c>
      <c r="C88" s="21">
        <f>Inputs!$B69*(C69+C70+I17+H16)*('Prices and Spreads'!$J$14+'Prices and Spreads'!$K$14)/4</f>
        <v>0</v>
      </c>
      <c r="D88" s="21">
        <f>Inputs!$B69*(D69+D70+J17+I16)*('Prices and Spreads'!$J$14+'Prices and Spreads'!$K$14)/4</f>
        <v>0</v>
      </c>
      <c r="E88" s="21">
        <f>Inputs!$B69*(E69+E70+K17+J16)*('Prices and Spreads'!$J$14+'Prices and Spreads'!$K$14)/4</f>
        <v>0</v>
      </c>
      <c r="F88" s="21">
        <f>Inputs!$B69*(F69+F70+L17+K16)*('Prices and Spreads'!$J$14+'Prices and Spreads'!$K$14)/4</f>
        <v>0</v>
      </c>
      <c r="G88" s="21">
        <f>Inputs!$B69*(G69+G70+M17+L16)*('Prices and Spreads'!$J$14+'Prices and Spreads'!$K$14)/4</f>
        <v>0</v>
      </c>
      <c r="H88" s="21">
        <f>Inputs!$B69*(H69+H70+N17+M16)*('Prices and Spreads'!$J$14+'Prices and Spreads'!$K$14)/4</f>
        <v>0</v>
      </c>
      <c r="I88" s="21">
        <f>Inputs!$B69*(I69+I70+O17+N16)*('Prices and Spreads'!$J$14+'Prices and Spreads'!$K$14)/4</f>
        <v>0</v>
      </c>
      <c r="J88" s="21">
        <f>Inputs!$B69*(J69+J70+P17+O16)*('Prices and Spreads'!$J$14+'Prices and Spreads'!$K$14)/4</f>
        <v>0</v>
      </c>
      <c r="K88" s="21">
        <f>Inputs!$B69*(K69+K70+Q17+P16)*('Prices and Spreads'!$J$14+'Prices and Spreads'!$K$14)/4</f>
        <v>0</v>
      </c>
      <c r="L88" s="21">
        <f>Inputs!$B69*(L69+L70+R17+Q16)*('Prices and Spreads'!$J$14+'Prices and Spreads'!$K$14)/4</f>
        <v>0</v>
      </c>
      <c r="M88" s="21">
        <f>Inputs!$B69*(M69+M70+S17+R16)*('Prices and Spreads'!$J$14+'Prices and Spreads'!$K$14)/4</f>
        <v>0</v>
      </c>
      <c r="N88" s="21">
        <f t="shared" si="10"/>
        <v>0</v>
      </c>
    </row>
    <row r="89" spans="1:14" ht="15.75">
      <c r="A89" s="11" t="s">
        <v>340</v>
      </c>
      <c r="B89" s="21">
        <v>0</v>
      </c>
      <c r="C89" s="21">
        <v>0</v>
      </c>
      <c r="D89" s="21">
        <v>0</v>
      </c>
      <c r="E89" s="21">
        <v>0</v>
      </c>
      <c r="F89" s="21">
        <f>Inputs!$B$84/12</f>
        <v>0</v>
      </c>
      <c r="G89" s="21">
        <f>Inputs!$B$84/12</f>
        <v>0</v>
      </c>
      <c r="H89" s="21">
        <f>Inputs!$B$84/12</f>
        <v>0</v>
      </c>
      <c r="I89" s="21">
        <f>Inputs!$B$84/12</f>
        <v>0</v>
      </c>
      <c r="J89" s="21">
        <f>Inputs!$B$84/12</f>
        <v>0</v>
      </c>
      <c r="K89" s="21">
        <f>Inputs!$B$84/12</f>
        <v>0</v>
      </c>
      <c r="L89" s="21">
        <f>Inputs!$B$84/12</f>
        <v>0</v>
      </c>
      <c r="M89" s="21">
        <f>Inputs!$B$84/12</f>
        <v>0</v>
      </c>
      <c r="N89" s="21">
        <f t="shared" si="10"/>
        <v>0</v>
      </c>
    </row>
    <row r="90" spans="1:14" ht="15.75">
      <c r="A90" s="11" t="s">
        <v>54</v>
      </c>
      <c r="B90" s="21">
        <v>0</v>
      </c>
      <c r="C90" s="21">
        <v>0</v>
      </c>
      <c r="D90" s="21">
        <v>0</v>
      </c>
      <c r="E90" s="21">
        <v>0</v>
      </c>
      <c r="F90" s="21">
        <f>Inputs!$B$85/12</f>
        <v>0</v>
      </c>
      <c r="G90" s="21">
        <f>Inputs!$B$85/12</f>
        <v>0</v>
      </c>
      <c r="H90" s="21">
        <f>Inputs!$B$85/12</f>
        <v>0</v>
      </c>
      <c r="I90" s="21">
        <f>Inputs!$B$85/12</f>
        <v>0</v>
      </c>
      <c r="J90" s="21">
        <f>Inputs!$B$85/12</f>
        <v>0</v>
      </c>
      <c r="K90" s="21">
        <f>Inputs!$B$85/12</f>
        <v>0</v>
      </c>
      <c r="L90" s="21">
        <f>Inputs!$B$85/12</f>
        <v>0</v>
      </c>
      <c r="M90" s="21">
        <f>Inputs!$B$85/12</f>
        <v>0</v>
      </c>
      <c r="N90" s="21">
        <f t="shared" si="10"/>
        <v>0</v>
      </c>
    </row>
    <row r="91" spans="1:14" ht="15.75">
      <c r="A91" s="11" t="s">
        <v>54</v>
      </c>
      <c r="B91" s="21">
        <v>0</v>
      </c>
      <c r="C91" s="21">
        <v>0</v>
      </c>
      <c r="D91" s="21">
        <v>0</v>
      </c>
      <c r="E91" s="21">
        <v>0</v>
      </c>
      <c r="F91" s="21">
        <f>Inputs!$B$86/12</f>
        <v>0</v>
      </c>
      <c r="G91" s="21">
        <f>Inputs!$B$86/12</f>
        <v>0</v>
      </c>
      <c r="H91" s="21">
        <f>Inputs!$B$86/12</f>
        <v>0</v>
      </c>
      <c r="I91" s="21">
        <f>Inputs!$B$86/12</f>
        <v>0</v>
      </c>
      <c r="J91" s="21">
        <f>Inputs!$B$86/12</f>
        <v>0</v>
      </c>
      <c r="K91" s="21">
        <f>Inputs!$B$86/12</f>
        <v>0</v>
      </c>
      <c r="L91" s="21">
        <f>Inputs!$B$86/12</f>
        <v>0</v>
      </c>
      <c r="M91" s="21">
        <f>Inputs!$B$86/12</f>
        <v>0</v>
      </c>
      <c r="N91" s="21">
        <f t="shared" si="10"/>
        <v>0</v>
      </c>
    </row>
    <row r="92" spans="1:14" ht="15.75">
      <c r="A92" s="14" t="s">
        <v>135</v>
      </c>
      <c r="B92" s="21">
        <f>SUM(B73:B91)</f>
        <v>231888.37593603355</v>
      </c>
      <c r="C92" s="21">
        <f aca="true" t="shared" si="11" ref="C92:N92">SUM(C73:C91)</f>
        <v>236927.67352164382</v>
      </c>
      <c r="D92" s="21">
        <f t="shared" si="11"/>
        <v>248069.3167591202</v>
      </c>
      <c r="E92" s="21">
        <f t="shared" si="11"/>
        <v>220202.0068226727</v>
      </c>
      <c r="F92" s="21">
        <f t="shared" si="11"/>
        <v>222761.67478208302</v>
      </c>
      <c r="G92" s="21">
        <f t="shared" si="11"/>
        <v>228850.8370229287</v>
      </c>
      <c r="H92" s="21">
        <f t="shared" si="11"/>
        <v>231953.4923086941</v>
      </c>
      <c r="I92" s="21">
        <f t="shared" si="11"/>
        <v>239942.04346612774</v>
      </c>
      <c r="J92" s="21">
        <f t="shared" si="11"/>
        <v>229540.2484128474</v>
      </c>
      <c r="K92" s="21">
        <f t="shared" si="11"/>
        <v>227166.29897795388</v>
      </c>
      <c r="L92" s="21">
        <f t="shared" si="11"/>
        <v>224145.03778400747</v>
      </c>
      <c r="M92" s="21">
        <f t="shared" si="11"/>
        <v>227700.62802065248</v>
      </c>
      <c r="N92" s="21">
        <f t="shared" si="11"/>
        <v>2769147.633814765</v>
      </c>
    </row>
    <row r="93" spans="1:14" ht="15.75">
      <c r="A93" s="1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5.75">
      <c r="A94" s="14" t="s">
        <v>136</v>
      </c>
      <c r="B94" s="21">
        <f>B92+B66</f>
        <v>231888.37593603355</v>
      </c>
      <c r="C94" s="21">
        <f aca="true" t="shared" si="12" ref="C94:N94">C92+C66</f>
        <v>236927.67352164382</v>
      </c>
      <c r="D94" s="21">
        <f t="shared" si="12"/>
        <v>248069.3167591202</v>
      </c>
      <c r="E94" s="21">
        <f t="shared" si="12"/>
        <v>220202.0068226727</v>
      </c>
      <c r="F94" s="21">
        <f t="shared" si="12"/>
        <v>222761.67478208302</v>
      </c>
      <c r="G94" s="21">
        <f t="shared" si="12"/>
        <v>228850.8370229287</v>
      </c>
      <c r="H94" s="21">
        <f t="shared" si="12"/>
        <v>231953.4923086941</v>
      </c>
      <c r="I94" s="21">
        <f t="shared" si="12"/>
        <v>239942.04346612774</v>
      </c>
      <c r="J94" s="21">
        <f t="shared" si="12"/>
        <v>229540.2484128474</v>
      </c>
      <c r="K94" s="21">
        <f t="shared" si="12"/>
        <v>227166.29897795388</v>
      </c>
      <c r="L94" s="21">
        <f t="shared" si="12"/>
        <v>224145.03778400747</v>
      </c>
      <c r="M94" s="21">
        <f t="shared" si="12"/>
        <v>227700.62802065248</v>
      </c>
      <c r="N94" s="21">
        <f t="shared" si="12"/>
        <v>2769147.633814765</v>
      </c>
    </row>
    <row r="96" ht="15.75">
      <c r="A96" s="18" t="s">
        <v>35</v>
      </c>
    </row>
    <row r="97" spans="1:14" ht="15.75">
      <c r="A97" s="2" t="s">
        <v>329</v>
      </c>
      <c r="B97" s="109">
        <f>Inputs!$B$69*(H17*(1-'Prices and Spreads'!$K$13)*'Prices and Spreads'!$K$6+G16*(1-'Prices and Spreads'!$J$13)*'Prices and Spreads'!$J$6)*'Prices and Spreads'!$E$15*'Prices and Spreads'!C$48/100</f>
        <v>0</v>
      </c>
      <c r="C97" s="109">
        <f>Inputs!$B$69*(I17*(1-'Prices and Spreads'!$K$13)*'Prices and Spreads'!$K$6+H16*(1-'Prices and Spreads'!$J$13)*'Prices and Spreads'!$J$6)*'Prices and Spreads'!$E$15*'Prices and Spreads'!D$48/100</f>
        <v>0</v>
      </c>
      <c r="D97" s="109">
        <f>Inputs!$B$69*(J17*(1-'Prices and Spreads'!$K$13)*'Prices and Spreads'!$K$6+I16*(1-'Prices and Spreads'!$J$13)*'Prices and Spreads'!$J$6)*'Prices and Spreads'!$E$15*'Prices and Spreads'!E$48/100</f>
        <v>0</v>
      </c>
      <c r="E97" s="109">
        <f>Inputs!$B$69*(K17*(1-'Prices and Spreads'!$K$13)*'Prices and Spreads'!$K$6+J16*(1-'Prices and Spreads'!$J$13)*'Prices and Spreads'!$J$6)*'Prices and Spreads'!$E$15*'Prices and Spreads'!F$48/100</f>
        <v>0</v>
      </c>
      <c r="F97" s="109">
        <f>Inputs!$B$69*(L17*(1-'Prices and Spreads'!$K$13)*'Prices and Spreads'!$K$6+K16*(1-'Prices and Spreads'!$J$13)*'Prices and Spreads'!$J$6)*'Prices and Spreads'!$E$15*'Prices and Spreads'!G$48/100</f>
        <v>0</v>
      </c>
      <c r="G97" s="109">
        <f>Inputs!$B$69*(M17*(1-'Prices and Spreads'!$K$13)*'Prices and Spreads'!$K$6+L16*(1-'Prices and Spreads'!$J$13)*'Prices and Spreads'!$J$6)*'Prices and Spreads'!$E$15*'Prices and Spreads'!H$48/100</f>
        <v>0</v>
      </c>
      <c r="H97" s="109">
        <f>Inputs!$B$69*(B70*(1-'Prices and Spreads'!$K$13)*'Prices and Spreads'!$K$6+M16*(1-'Prices and Spreads'!$J$13)*'Prices and Spreads'!$J$6)*'Prices and Spreads'!$E$15*'Prices and Spreads'!I$48/100</f>
        <v>0</v>
      </c>
      <c r="I97" s="109">
        <f>Inputs!$B$69*(C70*(1-'Prices and Spreads'!$K$13)*'Prices and Spreads'!$K$6+B69*(1-'Prices and Spreads'!$J$13)*'Prices and Spreads'!$J$6)*'Prices and Spreads'!$E$15*'Prices and Spreads'!J$48/100</f>
        <v>0</v>
      </c>
      <c r="J97" s="109">
        <f>Inputs!$B$69*(D70*(1-'Prices and Spreads'!$K$13)*'Prices and Spreads'!$K$6+C69*(1-'Prices and Spreads'!$J$13)*'Prices and Spreads'!$J$6)*'Prices and Spreads'!$E$15*'Prices and Spreads'!K$48/100</f>
        <v>0</v>
      </c>
      <c r="K97" s="109">
        <f>Inputs!$B$69*(E70*(1-'Prices and Spreads'!$K$13)*'Prices and Spreads'!$K$6+D69*(1-'Prices and Spreads'!$J$13)*'Prices and Spreads'!$J$6)*'Prices and Spreads'!$E$15*'Prices and Spreads'!L$47/100</f>
        <v>0</v>
      </c>
      <c r="L97" s="109">
        <f>Inputs!$B$69*(F70*(1-'Prices and Spreads'!$K$13)*'Prices and Spreads'!$K$6+E69*(1-'Prices and Spreads'!$J$13)*'Prices and Spreads'!$J$6)*'Prices and Spreads'!$E$15*'Prices and Spreads'!M$47/100</f>
        <v>0</v>
      </c>
      <c r="M97" s="109">
        <f>Inputs!$B$69*(G70*(1-'Prices and Spreads'!$K$13)*'Prices and Spreads'!$K$6+F69*(1-'Prices and Spreads'!$J$13)*'Prices and Spreads'!$J$6)*'Prices and Spreads'!$E$15*'Prices and Spreads'!N$47/100</f>
        <v>0</v>
      </c>
      <c r="N97" s="21">
        <f>SUM(B97:M97)</f>
        <v>0</v>
      </c>
    </row>
    <row r="98" spans="1:14" ht="15.75">
      <c r="A98" s="2" t="s">
        <v>137</v>
      </c>
      <c r="B98" s="21">
        <f>(1-Inputs!$B$69)*(IF(Inputs!$B$70=1,M22/(1+Inputs!$B$71),IF(Inputs!$B$70=2,L22/(1+Inputs!$B$71),K22/(1+Inputs!$B$71))))</f>
        <v>248722.57190998367</v>
      </c>
      <c r="C98" s="21">
        <f>(1-Inputs!$B$69)*(IF(Inputs!$B$70=1,B75/(1+Inputs!$B$71),IF(Inputs!$B$70=2,M22/(1+Inputs!$B$71),L22/(1+Inputs!$B$71))))</f>
        <v>199374.7882578136</v>
      </c>
      <c r="D98" s="21">
        <f>(1-Inputs!$B$69)*(IF(Inputs!$B$70=1,C75/(1+Inputs!$B$71),IF(Inputs!$B$70=2,N22/(1+Inputs!$B$71),M22/(1+Inputs!$B$71))))</f>
        <v>204763.7392890029</v>
      </c>
      <c r="E98" s="21">
        <f>(1-Inputs!$B$69)*(IF(Inputs!$B$70=1,D75/(1+Inputs!$B$71),IF(Inputs!$B$70=2,C75/(1+Inputs!$B$71),B75/(1+Inputs!$B$71))))</f>
        <v>200004.3225148731</v>
      </c>
      <c r="F98" s="21">
        <f>(1-Inputs!$B$69)*(IF(Inputs!$B$70=1,E75/(1+Inputs!$B$71),IF(Inputs!$B$70=2,D75/(1+Inputs!$B$71),C75/(1+Inputs!$B$71))))</f>
        <v>187451.06172149963</v>
      </c>
      <c r="G98" s="21">
        <f>(1-Inputs!$B$69)*(IF(Inputs!$B$70=1,F75/(1+Inputs!$B$71),IF(Inputs!$B$70=2,E75/(1+Inputs!$B$71),D75/(1+Inputs!$B$71))))</f>
        <v>190404.88091058892</v>
      </c>
      <c r="H98" s="21">
        <f>(1-Inputs!$B$69)*(IF(Inputs!$B$70=1,G75/(1+Inputs!$B$71),IF(Inputs!$B$70=2,F75/(1+Inputs!$B$71),E75/(1+Inputs!$B$71))))</f>
        <v>196231.0978909654</v>
      </c>
      <c r="I98" s="21">
        <f>(1-Inputs!$B$69)*(IF(Inputs!$B$70=1,H75/(1+Inputs!$B$71),IF(Inputs!$B$70=2,G75/(1+Inputs!$B$71),F75/(1+Inputs!$B$71))))</f>
        <v>199225.62777895585</v>
      </c>
      <c r="J98" s="21">
        <f>(1-Inputs!$B$69)*(IF(Inputs!$B$70=1,I75/(1+Inputs!$B$71),IF(Inputs!$B$70=2,H75/(1+Inputs!$B$71),G75/(1+Inputs!$B$71))))</f>
        <v>206996.92739123953</v>
      </c>
      <c r="K98" s="21">
        <f>(1-Inputs!$B$69)*(IF(Inputs!$B$70=1,J75/(1+Inputs!$B$71),IF(Inputs!$B$70=2,I75/(1+Inputs!$B$71),H75/(1+Inputs!$B$71))))</f>
        <v>182785.49818530362</v>
      </c>
      <c r="L98" s="21">
        <f>(1-Inputs!$B$69)*(IF(Inputs!$B$70=1,K75/(1+Inputs!$B$71),IF(Inputs!$B$70=2,J75/(1+Inputs!$B$71),I75/(1+Inputs!$B$71))))</f>
        <v>193985.83722662437</v>
      </c>
      <c r="M98" s="21">
        <f>(1-Inputs!$B$69)*(IF(Inputs!$B$70=1,L75/(1+Inputs!$B$71),IF(Inputs!$B$70=2,K75/(1+Inputs!$B$71),J75/(1+Inputs!$B$71))))</f>
        <v>190607.534344293</v>
      </c>
      <c r="N98" s="21">
        <f>SUM(B98:M98)</f>
        <v>2400553.8874211432</v>
      </c>
    </row>
    <row r="99" spans="1:14" ht="15.75">
      <c r="A99" s="2" t="s">
        <v>138</v>
      </c>
      <c r="B99" s="122">
        <f>(1-Inputs!$B$69)*(ROUNDUP((Inventories!B$45/Inputs!$G$10),0))*Inputs!$G$10*Inputs!$G$69*30.5</f>
        <v>70821</v>
      </c>
      <c r="C99" s="122">
        <f>(1-Inputs!$B$69)*(ROUNDUP((Inventories!C$45/Inputs!$G$10),0))*Inputs!$G$10*Inputs!$G$69*30.5</f>
        <v>70821</v>
      </c>
      <c r="D99" s="122">
        <f>(1-Inputs!$B$69)*(ROUNDUP((Inventories!D$45/Inputs!$G$10),0))*Inputs!$G$10*Inputs!$G$69*30.5</f>
        <v>68198</v>
      </c>
      <c r="E99" s="122">
        <f>(1-Inputs!$B$69)*(ROUNDUP((Inventories!E$45/Inputs!$G$10),0))*Inputs!$G$10*Inputs!$G$69*30.5</f>
        <v>62952</v>
      </c>
      <c r="F99" s="122">
        <f>(1-Inputs!$B$69)*(ROUNDUP((Inventories!F$45/Inputs!$G$10),0))*Inputs!$G$10*Inputs!$G$69*30.5</f>
        <v>62952</v>
      </c>
      <c r="G99" s="122">
        <f>(1-Inputs!$B$69)*(ROUNDUP((Inventories!G$45/Inputs!$G$10),0))*Inputs!$G$10*Inputs!$G$69*30.5</f>
        <v>62952</v>
      </c>
      <c r="H99" s="122">
        <f>(1-Inputs!$B$69)*(ROUNDUP((Inventories!H$45/Inputs!$G$10),0))*Inputs!$G$10*Inputs!$G$69*30.5</f>
        <v>62952</v>
      </c>
      <c r="I99" s="122">
        <f>(1-Inputs!$B$69)*(ROUNDUP((Inventories!I$45/Inputs!$G$10),0))*Inputs!$G$10*Inputs!$G$69*30.5</f>
        <v>62952</v>
      </c>
      <c r="J99" s="122">
        <f>(1-Inputs!$B$69)*(ROUNDUP((Inventories!J$45/Inputs!$G$10),0))*Inputs!$G$10*Inputs!$G$69*30.5</f>
        <v>65575</v>
      </c>
      <c r="K99" s="122">
        <f>(1-Inputs!$B$69)*(ROUNDUP((Inventories!K$45/Inputs!$G$10),0))*Inputs!$G$10*Inputs!$G$69*30.5</f>
        <v>70821</v>
      </c>
      <c r="L99" s="122">
        <f>(1-Inputs!$B$69)*(ROUNDUP((Inventories!L$45/Inputs!$G$10),0))*Inputs!$G$10*Inputs!$G$69*30.5</f>
        <v>70821</v>
      </c>
      <c r="M99" s="122">
        <f>(1-Inputs!$B$69)*(ROUNDUP((Inventories!M$45/Inputs!$G$10),0))*Inputs!$G$10*Inputs!$G$69*30.5</f>
        <v>70821</v>
      </c>
      <c r="N99" s="21">
        <f>SUM(B99:M99)</f>
        <v>802638</v>
      </c>
    </row>
    <row r="100" spans="1:14" ht="15.75">
      <c r="A100" s="2" t="s">
        <v>139</v>
      </c>
      <c r="B100" s="21">
        <f>(1-Inputs!$B$69)*(Inputs!$G$70*(Inventories!B$43*'Diets and Performance'!$C$30*30.5+Inventories!B$44*'Diets and Performance'!$D$30*30.5)/2000)</f>
        <v>0</v>
      </c>
      <c r="C100" s="21">
        <f>(1-Inputs!$B$69)*(Inputs!$G$70*(Inventories!C$43*'Diets and Performance'!$C$30*30.5+Inventories!C$44*'Diets and Performance'!$D$30*30.5)/2000)</f>
        <v>0</v>
      </c>
      <c r="D100" s="21">
        <f>(1-Inputs!$B$69)*(Inputs!$G$70*(Inventories!D$43*'Diets and Performance'!$C$30*30.5+Inventories!D$44*'Diets and Performance'!$D$30*30.5)/2000)</f>
        <v>0</v>
      </c>
      <c r="E100" s="21">
        <f>(1-Inputs!$B$69)*(Inputs!$G$70*(Inventories!E$43*'Diets and Performance'!$C$30*30.5+Inventories!E$44*'Diets and Performance'!$D$30*30.5)/2000)</f>
        <v>0</v>
      </c>
      <c r="F100" s="21">
        <f>(1-Inputs!$B$69)*(Inputs!$G$70*(Inventories!F$43*'Diets and Performance'!$C$30*30.5+Inventories!F$44*'Diets and Performance'!$D$30*30.5)/2000)</f>
        <v>0</v>
      </c>
      <c r="G100" s="21">
        <f>(1-Inputs!$B$69)*(Inputs!$G$70*(Inventories!G$43*'Diets and Performance'!$C$30*30.5+Inventories!G$44*'Diets and Performance'!$D$30*30.5)/2000)</f>
        <v>0</v>
      </c>
      <c r="H100" s="21">
        <f>(1-Inputs!$B$69)*(Inputs!$G$70*(Inventories!H$43*'Diets and Performance'!$C$30*30.5+Inventories!H$44*'Diets and Performance'!$D$30*30.5)/2000)</f>
        <v>0</v>
      </c>
      <c r="I100" s="21">
        <f>(1-Inputs!$B$69)*(Inputs!$G$70*(Inventories!I$43*'Diets and Performance'!$C$30*30.5+Inventories!I$44*'Diets and Performance'!$D$30*30.5)/2000)</f>
        <v>0</v>
      </c>
      <c r="J100" s="21">
        <f>(1-Inputs!$B$69)*(Inputs!$G$70*(Inventories!J$43*'Diets and Performance'!$C$30*30.5+Inventories!J$44*'Diets and Performance'!$D$30*30.5)/2000)</f>
        <v>0</v>
      </c>
      <c r="K100" s="21">
        <f>(1-Inputs!$B$69)*(Inputs!$G$70*(Inventories!K$43*'Diets and Performance'!$C$30*30.5+Inventories!K$44*'Diets and Performance'!$D$30*30.5)/2000)</f>
        <v>0</v>
      </c>
      <c r="L100" s="21">
        <f>(1-Inputs!$B$69)*(Inputs!$G$70*(Inventories!L$43*'Diets and Performance'!$C$30*30.5+Inventories!L$44*'Diets and Performance'!$D$30*30.5)/2000)</f>
        <v>0</v>
      </c>
      <c r="M100" s="21">
        <f>(1-Inputs!$B$69)*(Inputs!$G$70*(Inventories!M$43*'Diets and Performance'!$C$30*30.5+Inventories!M$44*'Diets and Performance'!$D$30*30.5)/2000)</f>
        <v>0</v>
      </c>
      <c r="N100" s="21">
        <f>SUM(B100:M100)</f>
        <v>0</v>
      </c>
    </row>
    <row r="101" spans="1:14" ht="15.75">
      <c r="A101" s="2" t="s">
        <v>140</v>
      </c>
      <c r="B101" s="21">
        <f>(1-Inputs!$B$69)*(Inventories!B43+Inventories!B44)*Inputs!$G$71</f>
        <v>0</v>
      </c>
      <c r="C101" s="21">
        <f>(1-Inputs!$B$69)*(Inventories!C43+Inventories!C44)*Inputs!$G$71</f>
        <v>0</v>
      </c>
      <c r="D101" s="21">
        <f>(1-Inputs!$B$69)*(Inventories!D43+Inventories!D44)*Inputs!$G$71</f>
        <v>0</v>
      </c>
      <c r="E101" s="21">
        <f>(1-Inputs!$B$69)*(Inventories!E43+Inventories!E44)*Inputs!$G$71</f>
        <v>0</v>
      </c>
      <c r="F101" s="21">
        <f>(1-Inputs!$B$69)*(Inventories!F43+Inventories!F44)*Inputs!$G$71</f>
        <v>0</v>
      </c>
      <c r="G101" s="21">
        <f>(1-Inputs!$B$69)*(Inventories!G43+Inventories!G44)*Inputs!$G$71</f>
        <v>0</v>
      </c>
      <c r="H101" s="21">
        <f>(1-Inputs!$B$69)*(Inventories!H43+Inventories!H44)*Inputs!$G$71</f>
        <v>0</v>
      </c>
      <c r="I101" s="21">
        <f>(1-Inputs!$B$69)*(Inventories!I43+Inventories!I44)*Inputs!$G$71</f>
        <v>0</v>
      </c>
      <c r="J101" s="21">
        <f>(1-Inputs!$B$69)*(Inventories!J43+Inventories!J44)*Inputs!$G$71</f>
        <v>0</v>
      </c>
      <c r="K101" s="21">
        <f>(1-Inputs!$B$69)*(Inventories!K43+Inventories!K44)*Inputs!$G$71</f>
        <v>0</v>
      </c>
      <c r="L101" s="21">
        <f>(1-Inputs!$B$69)*(Inventories!L43+Inventories!L44)*Inputs!$G$71</f>
        <v>0</v>
      </c>
      <c r="M101" s="21">
        <f>(1-Inputs!$B$69)*(Inventories!M43+Inventories!M44)*Inputs!$G$71</f>
        <v>0</v>
      </c>
      <c r="N101" s="21">
        <f>(Inventories!N66-Inventories!$B66)*Inputs!$G$71+SUM(B101:M101)</f>
        <v>0</v>
      </c>
    </row>
    <row r="102" spans="1:14" ht="15.75">
      <c r="A102" s="18" t="s">
        <v>141</v>
      </c>
      <c r="B102" s="21">
        <f aca="true" t="shared" si="13" ref="B102:N102">SUM(B97:B101)</f>
        <v>319543.57190998364</v>
      </c>
      <c r="C102" s="21">
        <f t="shared" si="13"/>
        <v>270195.7882578136</v>
      </c>
      <c r="D102" s="21">
        <f t="shared" si="13"/>
        <v>272961.7392890029</v>
      </c>
      <c r="E102" s="21">
        <f t="shared" si="13"/>
        <v>262956.3225148731</v>
      </c>
      <c r="F102" s="21">
        <f t="shared" si="13"/>
        <v>250403.06172149963</v>
      </c>
      <c r="G102" s="21">
        <f t="shared" si="13"/>
        <v>253356.88091058892</v>
      </c>
      <c r="H102" s="21">
        <f t="shared" si="13"/>
        <v>259183.0978909654</v>
      </c>
      <c r="I102" s="21">
        <f t="shared" si="13"/>
        <v>262177.62777895585</v>
      </c>
      <c r="J102" s="21">
        <f t="shared" si="13"/>
        <v>272571.92739123956</v>
      </c>
      <c r="K102" s="21">
        <f t="shared" si="13"/>
        <v>253606.49818530362</v>
      </c>
      <c r="L102" s="21">
        <f t="shared" si="13"/>
        <v>264806.83722662437</v>
      </c>
      <c r="M102" s="21">
        <f t="shared" si="13"/>
        <v>261428.534344293</v>
      </c>
      <c r="N102" s="21">
        <f t="shared" si="13"/>
        <v>3203191.8874211432</v>
      </c>
    </row>
    <row r="104" spans="1:14" ht="15.75">
      <c r="A104" s="18" t="s">
        <v>142</v>
      </c>
      <c r="B104" s="21">
        <f>B102-B94</f>
        <v>87655.19597395009</v>
      </c>
      <c r="C104" s="21">
        <f aca="true" t="shared" si="14" ref="C104:N104">C102-C94</f>
        <v>33268.11473616978</v>
      </c>
      <c r="D104" s="21">
        <f t="shared" si="14"/>
        <v>24892.422529882693</v>
      </c>
      <c r="E104" s="21">
        <f t="shared" si="14"/>
        <v>42754.31569220041</v>
      </c>
      <c r="F104" s="21">
        <f t="shared" si="14"/>
        <v>27641.38693941661</v>
      </c>
      <c r="G104" s="21">
        <f t="shared" si="14"/>
        <v>24506.043887660227</v>
      </c>
      <c r="H104" s="21">
        <f t="shared" si="14"/>
        <v>27229.605582271295</v>
      </c>
      <c r="I104" s="21">
        <f t="shared" si="14"/>
        <v>22235.584312828112</v>
      </c>
      <c r="J104" s="21">
        <f t="shared" si="14"/>
        <v>43031.678978392156</v>
      </c>
      <c r="K104" s="21">
        <f t="shared" si="14"/>
        <v>26440.19920734974</v>
      </c>
      <c r="L104" s="21">
        <f t="shared" si="14"/>
        <v>40661.7994426169</v>
      </c>
      <c r="M104" s="21">
        <f t="shared" si="14"/>
        <v>33727.90632364052</v>
      </c>
      <c r="N104" s="21">
        <f t="shared" si="14"/>
        <v>434044.2536063781</v>
      </c>
    </row>
    <row r="105" ht="15.75">
      <c r="B105" s="21"/>
    </row>
    <row r="106" spans="1:14" ht="15.75">
      <c r="A106" s="18" t="s">
        <v>143</v>
      </c>
      <c r="B106" s="21">
        <f>(IF(A106=0,IF(B104&lt;0,1,0)*Inputs!$B$46+B104,M53+B104))</f>
        <v>345732.9540131586</v>
      </c>
      <c r="C106" s="21">
        <f>(IF(B106=0,IF(C104&lt;0,1,0)*Inputs!$B$46+C104,N53+C104))</f>
        <v>33268.11473616978</v>
      </c>
      <c r="D106" s="21">
        <f>(IF(C106=0,IF(D104&lt;0,1,0)*Inputs!$B$46+D104,O53+D104))</f>
        <v>24892.422529882693</v>
      </c>
      <c r="E106" s="21">
        <f>(IF(D106=0,IF(E104&lt;0,1,0)*Inputs!$B$46+E104,P53+E104))</f>
        <v>42754.31569220041</v>
      </c>
      <c r="F106" s="21">
        <f>(IF(E106=0,IF(F104&lt;0,1,0)*Inputs!$B$46+F104,Q53+F104))</f>
        <v>27641.38693941661</v>
      </c>
      <c r="G106" s="21">
        <f>(IF(F106=0,IF(G104&lt;0,1,0)*Inputs!$B$46+G104,R53+G104))</f>
        <v>24506.043887660227</v>
      </c>
      <c r="H106" s="21">
        <f>(IF(G106=0,IF(H104&lt;0,1,0)*Inputs!$B$46+H104,S53+H104))</f>
        <v>27229.605582271295</v>
      </c>
      <c r="I106" s="21">
        <f>(IF(H106=0,IF(I104&lt;0,1,0)*Inputs!$B$46+I104,T53+I104))</f>
        <v>22235.584312828112</v>
      </c>
      <c r="J106" s="21">
        <f>(IF(I106=0,IF(J104&lt;0,1,0)*Inputs!$B$46+J104,U53+J104))</f>
        <v>43031.678978392156</v>
      </c>
      <c r="K106" s="21">
        <f>(IF(J106=0,IF(K104&lt;0,1,0)*Inputs!$B$46+K104,V53+K104))</f>
        <v>26440.19920734974</v>
      </c>
      <c r="L106" s="21">
        <f>(IF(K106=0,IF(L104&lt;0,1,0)*Inputs!$B$46+L104,W53+L104))</f>
        <v>40661.7994426169</v>
      </c>
      <c r="M106" s="21">
        <f>(IF(L106=0,IF(M104&lt;0,1,0)*Inputs!$B$46+M104,X53+M104))</f>
        <v>33727.90632364052</v>
      </c>
      <c r="N106" s="21"/>
    </row>
    <row r="110" s="18" customFormat="1" ht="15.75">
      <c r="A110" s="18" t="s">
        <v>128</v>
      </c>
    </row>
    <row r="111" spans="1:14" s="18" customFormat="1" ht="15.75">
      <c r="A111" s="18" t="s">
        <v>16</v>
      </c>
      <c r="B111" s="19">
        <f>B57+365</f>
        <v>39449</v>
      </c>
      <c r="C111" s="19">
        <f>B111+31</f>
        <v>39480</v>
      </c>
      <c r="D111" s="19">
        <f>C111+29</f>
        <v>39509</v>
      </c>
      <c r="E111" s="19">
        <f>D111+31</f>
        <v>39540</v>
      </c>
      <c r="F111" s="19">
        <f>E111+30</f>
        <v>39570</v>
      </c>
      <c r="G111" s="19">
        <f>F111+31</f>
        <v>39601</v>
      </c>
      <c r="H111" s="19">
        <f>G111+30</f>
        <v>39631</v>
      </c>
      <c r="I111" s="19">
        <f>H111+31</f>
        <v>39662</v>
      </c>
      <c r="J111" s="19">
        <f>I111+31</f>
        <v>39693</v>
      </c>
      <c r="K111" s="19">
        <f>J111+30</f>
        <v>39723</v>
      </c>
      <c r="L111" s="19">
        <f>K111+31</f>
        <v>39754</v>
      </c>
      <c r="M111" s="19">
        <f>L111+30</f>
        <v>39784</v>
      </c>
      <c r="N111" s="35" t="s">
        <v>129</v>
      </c>
    </row>
    <row r="112" spans="1:14" s="18" customFormat="1" ht="15.75">
      <c r="A112" s="18" t="s">
        <v>130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5"/>
    </row>
    <row r="113" spans="1:14" ht="15.75">
      <c r="A113" s="4" t="str">
        <f>Inputs!A$55</f>
        <v>Land</v>
      </c>
      <c r="B113" s="21">
        <f>B6</f>
        <v>0</v>
      </c>
      <c r="C113" s="21">
        <f aca="true" t="shared" si="15" ref="C113:M113">C6</f>
        <v>0</v>
      </c>
      <c r="D113" s="21">
        <f>D59</f>
        <v>0</v>
      </c>
      <c r="E113" s="21">
        <f t="shared" si="15"/>
        <v>0</v>
      </c>
      <c r="F113" s="21">
        <f t="shared" si="15"/>
        <v>0</v>
      </c>
      <c r="G113" s="21">
        <f t="shared" si="15"/>
        <v>0</v>
      </c>
      <c r="H113" s="21">
        <f t="shared" si="15"/>
        <v>0</v>
      </c>
      <c r="I113" s="21">
        <f t="shared" si="15"/>
        <v>0</v>
      </c>
      <c r="J113" s="21">
        <f t="shared" si="15"/>
        <v>0</v>
      </c>
      <c r="K113" s="21">
        <f t="shared" si="15"/>
        <v>0</v>
      </c>
      <c r="L113" s="21">
        <f t="shared" si="15"/>
        <v>0</v>
      </c>
      <c r="M113" s="21">
        <f t="shared" si="15"/>
        <v>0</v>
      </c>
      <c r="N113" s="21">
        <f>SUM(B113:M113)</f>
        <v>0</v>
      </c>
    </row>
    <row r="114" spans="1:14" ht="15.75">
      <c r="A114" s="4" t="str">
        <f>Inputs!A$56</f>
        <v>Construction</v>
      </c>
      <c r="B114" s="21">
        <f>B60</f>
        <v>0</v>
      </c>
      <c r="C114" s="21">
        <f aca="true" t="shared" si="16" ref="C114:M115">C60</f>
        <v>0</v>
      </c>
      <c r="D114" s="21">
        <f t="shared" si="16"/>
        <v>0</v>
      </c>
      <c r="E114" s="21">
        <f t="shared" si="16"/>
        <v>0</v>
      </c>
      <c r="F114" s="21">
        <f t="shared" si="16"/>
        <v>0</v>
      </c>
      <c r="G114" s="21">
        <f t="shared" si="16"/>
        <v>0</v>
      </c>
      <c r="H114" s="21">
        <f t="shared" si="16"/>
        <v>0</v>
      </c>
      <c r="I114" s="21">
        <f t="shared" si="16"/>
        <v>0</v>
      </c>
      <c r="J114" s="21">
        <f t="shared" si="16"/>
        <v>0</v>
      </c>
      <c r="K114" s="21">
        <f t="shared" si="16"/>
        <v>0</v>
      </c>
      <c r="L114" s="21">
        <f t="shared" si="16"/>
        <v>0</v>
      </c>
      <c r="M114" s="21">
        <f t="shared" si="16"/>
        <v>0</v>
      </c>
      <c r="N114" s="21">
        <f>SUM(B114:M114)</f>
        <v>0</v>
      </c>
    </row>
    <row r="115" spans="1:14" ht="15.75">
      <c r="A115" s="4" t="str">
        <f>Inputs!A$57</f>
        <v>Equipment 1</v>
      </c>
      <c r="B115" s="21">
        <f>B61</f>
        <v>0</v>
      </c>
      <c r="C115" s="21">
        <f t="shared" si="16"/>
        <v>0</v>
      </c>
      <c r="D115" s="21">
        <f t="shared" si="16"/>
        <v>0</v>
      </c>
      <c r="E115" s="21">
        <f t="shared" si="16"/>
        <v>0</v>
      </c>
      <c r="F115" s="21">
        <f t="shared" si="16"/>
        <v>0</v>
      </c>
      <c r="G115" s="21">
        <f t="shared" si="16"/>
        <v>0</v>
      </c>
      <c r="H115" s="21">
        <f t="shared" si="16"/>
        <v>0</v>
      </c>
      <c r="I115" s="21">
        <f t="shared" si="16"/>
        <v>0</v>
      </c>
      <c r="J115" s="21">
        <f t="shared" si="16"/>
        <v>0</v>
      </c>
      <c r="K115" s="21">
        <f t="shared" si="16"/>
        <v>0</v>
      </c>
      <c r="L115" s="21">
        <f t="shared" si="16"/>
        <v>0</v>
      </c>
      <c r="M115" s="21">
        <f t="shared" si="16"/>
        <v>0</v>
      </c>
      <c r="N115" s="21">
        <f>SUM(B115:M115)</f>
        <v>0</v>
      </c>
    </row>
    <row r="116" spans="1:14" ht="15.75">
      <c r="A116" s="4" t="str">
        <f>Inputs!A$58</f>
        <v>Cattle Loans</v>
      </c>
      <c r="B116" s="21" t="s">
        <v>145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.75">
      <c r="A117" s="4" t="str">
        <f>Inputs!A$59</f>
        <v>Other loans (Overwrite)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4" t="str">
        <f>Inputs!A$60</f>
        <v>Other loans (Overwrite)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.75">
      <c r="A119" s="4" t="str">
        <f>Inputs!A$61</f>
        <v>Other loans (Overwrite)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.75">
      <c r="A120" s="4" t="s">
        <v>132</v>
      </c>
      <c r="B120" s="21">
        <f>SUM(B113:B119)</f>
        <v>0</v>
      </c>
      <c r="C120" s="21">
        <f aca="true" t="shared" si="17" ref="C120:N120">SUM(C113:C119)</f>
        <v>0</v>
      </c>
      <c r="D120" s="21">
        <f t="shared" si="17"/>
        <v>0</v>
      </c>
      <c r="E120" s="21">
        <f t="shared" si="17"/>
        <v>0</v>
      </c>
      <c r="F120" s="21">
        <f t="shared" si="17"/>
        <v>0</v>
      </c>
      <c r="G120" s="21">
        <f t="shared" si="17"/>
        <v>0</v>
      </c>
      <c r="H120" s="21">
        <f t="shared" si="17"/>
        <v>0</v>
      </c>
      <c r="I120" s="21">
        <f t="shared" si="17"/>
        <v>0</v>
      </c>
      <c r="J120" s="21">
        <f t="shared" si="17"/>
        <v>0</v>
      </c>
      <c r="K120" s="21">
        <f t="shared" si="17"/>
        <v>0</v>
      </c>
      <c r="L120" s="21">
        <f t="shared" si="17"/>
        <v>0</v>
      </c>
      <c r="M120" s="21">
        <f t="shared" si="17"/>
        <v>0</v>
      </c>
      <c r="N120" s="21">
        <f t="shared" si="17"/>
        <v>0</v>
      </c>
    </row>
    <row r="121" ht="15.75">
      <c r="A121" s="4"/>
    </row>
    <row r="122" ht="15.75">
      <c r="A122" s="1" t="s">
        <v>133</v>
      </c>
    </row>
    <row r="123" spans="1:14" ht="15.75">
      <c r="A123" s="4" t="s">
        <v>338</v>
      </c>
      <c r="B123" s="2">
        <f>Inventories!B$4</f>
        <v>400</v>
      </c>
      <c r="C123" s="2">
        <f>Inventories!C$4</f>
        <v>400</v>
      </c>
      <c r="D123" s="2">
        <f>Inventories!D$4</f>
        <v>400</v>
      </c>
      <c r="E123" s="2">
        <f>Inventories!E$4</f>
        <v>400</v>
      </c>
      <c r="F123" s="2">
        <f>Inventories!F$4</f>
        <v>400</v>
      </c>
      <c r="G123" s="2">
        <f>Inventories!G$4</f>
        <v>400</v>
      </c>
      <c r="H123" s="2">
        <f>Inventories!H$4</f>
        <v>400</v>
      </c>
      <c r="I123" s="2">
        <f>Inventories!I$4</f>
        <v>400</v>
      </c>
      <c r="J123" s="2">
        <f>Inventories!J$4</f>
        <v>400</v>
      </c>
      <c r="K123" s="2">
        <f>Inventories!K$4</f>
        <v>600</v>
      </c>
      <c r="L123" s="2">
        <f>Inventories!L$4</f>
        <v>400</v>
      </c>
      <c r="M123" s="2">
        <f>Inventories!M$4</f>
        <v>400</v>
      </c>
      <c r="N123" s="21">
        <f>SUM(B123:M123)</f>
        <v>5000</v>
      </c>
    </row>
    <row r="124" spans="1:14" ht="15.75">
      <c r="A124" s="4" t="s">
        <v>334</v>
      </c>
      <c r="B124" s="2">
        <f>Inventories!B$5</f>
        <v>400</v>
      </c>
      <c r="C124" s="2">
        <f>Inventories!C$5</f>
        <v>400</v>
      </c>
      <c r="D124" s="2">
        <f>Inventories!D$5</f>
        <v>400</v>
      </c>
      <c r="E124" s="2">
        <f>Inventories!E$5</f>
        <v>400</v>
      </c>
      <c r="F124" s="2">
        <f>Inventories!F$5</f>
        <v>400</v>
      </c>
      <c r="G124" s="2">
        <f>Inventories!G$5</f>
        <v>400</v>
      </c>
      <c r="H124" s="2">
        <f>Inventories!H$5</f>
        <v>400</v>
      </c>
      <c r="I124" s="2">
        <f>Inventories!I$5</f>
        <v>400</v>
      </c>
      <c r="J124" s="2">
        <f>Inventories!J$5</f>
        <v>600</v>
      </c>
      <c r="K124" s="2">
        <f>Inventories!K$5</f>
        <v>600</v>
      </c>
      <c r="L124" s="2">
        <f>Inventories!L$5</f>
        <v>400</v>
      </c>
      <c r="M124" s="2">
        <f>Inventories!M$5</f>
        <v>400</v>
      </c>
      <c r="N124" s="21">
        <f>SUM(B124:M124)</f>
        <v>5200</v>
      </c>
    </row>
    <row r="125" spans="1:14" ht="15.75">
      <c r="A125" s="4" t="s">
        <v>335</v>
      </c>
      <c r="B125" s="32">
        <f>Inputs!$B$69*'Prices and Spreads'!$F$13*'Prices and Spreads'!C$46</f>
        <v>0</v>
      </c>
      <c r="C125" s="32">
        <f>Inputs!$B$69*'Prices and Spreads'!$F$13*'Prices and Spreads'!D$46</f>
        <v>0</v>
      </c>
      <c r="D125" s="32">
        <f>Inputs!$B$69*'Prices and Spreads'!$F$13*'Prices and Spreads'!E$46</f>
        <v>0</v>
      </c>
      <c r="E125" s="32">
        <f>Inputs!$B$69*'Prices and Spreads'!$F$13*'Prices and Spreads'!F$46</f>
        <v>0</v>
      </c>
      <c r="F125" s="32">
        <f>Inputs!$B$69*'Prices and Spreads'!$F$13*'Prices and Spreads'!G$46</f>
        <v>0</v>
      </c>
      <c r="G125" s="32">
        <f>Inputs!$B$69*'Prices and Spreads'!$F$13*'Prices and Spreads'!H$46</f>
        <v>0</v>
      </c>
      <c r="H125" s="32">
        <f>Inputs!$B$69*'Prices and Spreads'!$F$13*'Prices and Spreads'!I$46</f>
        <v>0</v>
      </c>
      <c r="I125" s="32">
        <f>Inputs!$B$69*'Prices and Spreads'!$F$13*'Prices and Spreads'!J$46</f>
        <v>0</v>
      </c>
      <c r="J125" s="32">
        <f>Inputs!$B$69*'Prices and Spreads'!$F$13*'Prices and Spreads'!K$46</f>
        <v>0</v>
      </c>
      <c r="K125" s="32">
        <f>Inputs!$B$69*'Prices and Spreads'!$F$13*'Prices and Spreads'!L$45</f>
        <v>0</v>
      </c>
      <c r="L125" s="32">
        <f>Inputs!$B$69*'Prices and Spreads'!$F$13*'Prices and Spreads'!M$45</f>
        <v>0</v>
      </c>
      <c r="M125" s="32">
        <f>Inputs!$B$69*'Prices and Spreads'!$F$13*'Prices and Spreads'!N$45</f>
        <v>0</v>
      </c>
      <c r="N125" s="32">
        <f>(B123*B125+C123*C125+D123*D125+E123*E125+F123*F125+G123*G125+H123*H125+I123*I125+J123*J125+K123*K125+L123*L125+M123*M125)/N123</f>
        <v>0</v>
      </c>
    </row>
    <row r="126" spans="1:14" ht="15.75">
      <c r="A126" s="4" t="s">
        <v>336</v>
      </c>
      <c r="B126" s="32">
        <f>Inputs!$B$69*'Prices and Spreads'!$F$14*'Prices and Spreads'!C$47</f>
        <v>0</v>
      </c>
      <c r="C126" s="32">
        <f>Inputs!$B$69*'Prices and Spreads'!$F$14*'Prices and Spreads'!D$47</f>
        <v>0</v>
      </c>
      <c r="D126" s="32">
        <f>Inputs!$B$69*'Prices and Spreads'!$F$14*'Prices and Spreads'!E$47</f>
        <v>0</v>
      </c>
      <c r="E126" s="32">
        <f>Inputs!$B$69*'Prices and Spreads'!$F$14*'Prices and Spreads'!F$47</f>
        <v>0</v>
      </c>
      <c r="F126" s="32">
        <f>Inputs!$B$69*'Prices and Spreads'!$F$14*'Prices and Spreads'!G$47</f>
        <v>0</v>
      </c>
      <c r="G126" s="32">
        <f>Inputs!$B$69*'Prices and Spreads'!$F$14*'Prices and Spreads'!H$47</f>
        <v>0</v>
      </c>
      <c r="H126" s="32">
        <f>Inputs!$B$69*'Prices and Spreads'!$F$14*'Prices and Spreads'!I$47</f>
        <v>0</v>
      </c>
      <c r="I126" s="32">
        <f>Inputs!$B$69*'Prices and Spreads'!$F$14*'Prices and Spreads'!J$47</f>
        <v>0</v>
      </c>
      <c r="J126" s="32">
        <f>Inputs!$B$69*'Prices and Spreads'!$F$14*'Prices and Spreads'!K$47</f>
        <v>0</v>
      </c>
      <c r="K126" s="32">
        <f>Inputs!$B$69*'Prices and Spreads'!$F$14*'Prices and Spreads'!L$46</f>
        <v>0</v>
      </c>
      <c r="L126" s="32">
        <f>Inputs!$B$69*'Prices and Spreads'!$F$14*'Prices and Spreads'!M$46</f>
        <v>0</v>
      </c>
      <c r="M126" s="32">
        <f>Inputs!$B$69*'Prices and Spreads'!$F$14*'Prices and Spreads'!N$46</f>
        <v>0</v>
      </c>
      <c r="N126" s="32">
        <f>(B124*B126+C124*C126+D124*D126+E124*E126+F124*F126+G124*G126+H124*H126+I124*I126+J124*J126+K124*K126+L124*L126+M124*M126)/N124</f>
        <v>0</v>
      </c>
    </row>
    <row r="127" spans="1:14" ht="15.75">
      <c r="A127" s="4" t="s">
        <v>328</v>
      </c>
      <c r="B127" s="109">
        <f>Inputs!$B69*B123*B125*'Prices and Spreads'!$J$4/100+B124*B126*'Prices and Spreads'!$K$4/100</f>
        <v>0</v>
      </c>
      <c r="C127" s="109">
        <f>Inputs!$B69*C123*C125*'Prices and Spreads'!$J$4/100+C124*C126*'Prices and Spreads'!$K$4/100</f>
        <v>0</v>
      </c>
      <c r="D127" s="109">
        <f>Inputs!$B69*D123*D125*'Prices and Spreads'!$J$4/100+D124*D126*'Prices and Spreads'!$K$4/100</f>
        <v>0</v>
      </c>
      <c r="E127" s="109">
        <f>Inputs!$B69*E123*E125*'Prices and Spreads'!$J$4/100+E124*E126*'Prices and Spreads'!$K$4/100</f>
        <v>0</v>
      </c>
      <c r="F127" s="109">
        <f>Inputs!$B69*F123*F125*'Prices and Spreads'!$J$4/100+F124*F126*'Prices and Spreads'!$K$4/100</f>
        <v>0</v>
      </c>
      <c r="G127" s="109">
        <f>Inputs!$B69*G123*G125*'Prices and Spreads'!$J$4/100+G124*G126*'Prices and Spreads'!$K$4/100</f>
        <v>0</v>
      </c>
      <c r="H127" s="109">
        <f>Inputs!$B69*H123*H125*'Prices and Spreads'!$J$4/100+H124*H126*'Prices and Spreads'!$K$4/100</f>
        <v>0</v>
      </c>
      <c r="I127" s="109">
        <f>Inputs!$B69*I123*I125*'Prices and Spreads'!$J$4/100+I124*I126*'Prices and Spreads'!$K$4/100</f>
        <v>0</v>
      </c>
      <c r="J127" s="109">
        <f>Inputs!$B69*J123*J125*'Prices and Spreads'!$J$4/100+J124*J126*'Prices and Spreads'!$K$4/100</f>
        <v>0</v>
      </c>
      <c r="K127" s="109">
        <f>Inputs!$B69*K123*K125*'Prices and Spreads'!$J$4/100+K124*K126*'Prices and Spreads'!$K$4/100</f>
        <v>0</v>
      </c>
      <c r="L127" s="109">
        <f>Inputs!$B69*L123*L125*'Prices and Spreads'!$J$4/100+L124*L126*'Prices and Spreads'!$K$4/100</f>
        <v>0</v>
      </c>
      <c r="M127" s="109">
        <f>Inputs!$B69*M123*M125*'Prices and Spreads'!$J$4/100+M124*M126*'Prices and Spreads'!$K$4/100</f>
        <v>0</v>
      </c>
      <c r="N127" s="21">
        <f>SUM(B127:M127)</f>
        <v>0</v>
      </c>
    </row>
    <row r="128" spans="1:14" ht="15.75">
      <c r="A128" s="4" t="s">
        <v>339</v>
      </c>
      <c r="B128" s="109">
        <f>Inputs!$B69*(G71*G69*'Prices and Spreads'!$J$4/100*'Prices and Spreads'!$J$7/365+H72*H70*'Prices and Spreads'!$K$4/100*'Prices and Spreads'!$K$7/365)*Inputs!$D$58</f>
        <v>0</v>
      </c>
      <c r="C128" s="109">
        <f>Inputs!$B69*(H71*H69*'Prices and Spreads'!$J$4/100*'Prices and Spreads'!$J$7/365+I72*I70*'Prices and Spreads'!$K$4/100*'Prices and Spreads'!$K$7/365)*Inputs!$D$58</f>
        <v>0</v>
      </c>
      <c r="D128" s="109">
        <f>Inputs!$B69*(I71*I69*'Prices and Spreads'!$J$4/100*'Prices and Spreads'!$J$7/365+J72*J70*'Prices and Spreads'!$K$4/100*'Prices and Spreads'!$K$7/365)*Inputs!$D$58</f>
        <v>0</v>
      </c>
      <c r="E128" s="109">
        <f>Inputs!$B69*(J71*J69*'Prices and Spreads'!$J$4/100*'Prices and Spreads'!$J$7/365+K72*K70*'Prices and Spreads'!$K$4/100*'Prices and Spreads'!$K$7/365)*Inputs!$D$58</f>
        <v>0</v>
      </c>
      <c r="F128" s="109">
        <f>Inputs!$B69*(K71*K69*'Prices and Spreads'!$J$4/100*'Prices and Spreads'!$J$7/365+L72*L70*'Prices and Spreads'!$K$4/100*'Prices and Spreads'!$K$7/365)*Inputs!$D$58</f>
        <v>0</v>
      </c>
      <c r="G128" s="109">
        <f>Inputs!$B69*(L71*L69*'Prices and Spreads'!$J$4/100*'Prices and Spreads'!$J$7/365+M72*M70*'Prices and Spreads'!$K$4/100*'Prices and Spreads'!$K$7/365)*Inputs!$D$58</f>
        <v>0</v>
      </c>
      <c r="H128" s="109">
        <f>Inputs!$B69*(M71*M69*'Prices and Spreads'!$J$4/100*'Prices and Spreads'!$J$7/365+B126*B124*'Prices and Spreads'!$K$4/100*'Prices and Spreads'!$K$7/365)*Inputs!$D$58</f>
        <v>0</v>
      </c>
      <c r="I128" s="109">
        <f>Inputs!$B69*(B125*B123*'Prices and Spreads'!$J$4/100*'Prices and Spreads'!$J$7/365+C126*C124*'Prices and Spreads'!$K$4/100*'Prices and Spreads'!$K$7/365)*Inputs!$D$58</f>
        <v>0</v>
      </c>
      <c r="J128" s="109">
        <f>Inputs!$B69*(C125*C123*'Prices and Spreads'!$J$4/100*'Prices and Spreads'!$J$7/365+D126*D124*'Prices and Spreads'!$K$4/100*'Prices and Spreads'!$K$7/365)*Inputs!$D$58</f>
        <v>0</v>
      </c>
      <c r="K128" s="109">
        <f>Inputs!$B69*(D125*D123*'Prices and Spreads'!$J$4/100*'Prices and Spreads'!$J$7/365+E126*E124*'Prices and Spreads'!$K$4/100*'Prices and Spreads'!$K$7/365)*Inputs!$D$58</f>
        <v>0</v>
      </c>
      <c r="L128" s="109">
        <f>Inputs!$B69*(E125*E123*'Prices and Spreads'!$J$4/100*'Prices and Spreads'!$J$7/365+F126*F124*'Prices and Spreads'!$K$4/100*'Prices and Spreads'!$K$7/365)*Inputs!$D$58</f>
        <v>0</v>
      </c>
      <c r="M128" s="109">
        <f>Inputs!$B69*(F125*F123*'Prices and Spreads'!$J$4/100*'Prices and Spreads'!$J$7/365+G126*G124*'Prices and Spreads'!$K$4/100*'Prices and Spreads'!$K$7/365)*Inputs!$D$58</f>
        <v>0</v>
      </c>
      <c r="N128" s="21">
        <f>SUM(B128:M128)</f>
        <v>0</v>
      </c>
    </row>
    <row r="129" spans="1:14" ht="15.75">
      <c r="A129" s="4" t="s">
        <v>134</v>
      </c>
      <c r="B129" s="37">
        <f>Inventories!B$93*(1+Inputs!$B$71)</f>
        <v>205356.031905548</v>
      </c>
      <c r="C129" s="37">
        <f>Inventories!C$93*(1+Inputs!$B$71)</f>
        <v>210906.651467673</v>
      </c>
      <c r="D129" s="37">
        <f>Inventories!D$93*(1+Inputs!$B$71)</f>
        <v>206004.4521903193</v>
      </c>
      <c r="E129" s="37">
        <f>Inventories!E$93*(1+Inputs!$B$71)</f>
        <v>193074.59357314464</v>
      </c>
      <c r="F129" s="37">
        <f>Inventories!F$93*(1+Inputs!$B$71)</f>
        <v>196117.0273379066</v>
      </c>
      <c r="G129" s="37">
        <f>Inventories!G$93*(1+Inputs!$B$71)</f>
        <v>202118.03082769437</v>
      </c>
      <c r="H129" s="37">
        <f>Inventories!H$93*(1+Inputs!$B$71)</f>
        <v>205202.39661232452</v>
      </c>
      <c r="I129" s="37">
        <f>Inventories!I$93*(1+Inputs!$B$71)</f>
        <v>213206.83521297673</v>
      </c>
      <c r="J129" s="37">
        <f>Inventories!J$93*(1+Inputs!$B$71)</f>
        <v>188269.06313086272</v>
      </c>
      <c r="K129" s="37">
        <f>Inventories!K$93*(1+Inputs!$B$71)</f>
        <v>199805.41234342312</v>
      </c>
      <c r="L129" s="37">
        <f>Inventories!L$93*(1+Inputs!$B$71)</f>
        <v>196325.7603746218</v>
      </c>
      <c r="M129" s="37">
        <f>Inventories!M$93*(1+Inputs!$B$71)</f>
        <v>199900.0242316868</v>
      </c>
      <c r="N129" s="21">
        <f>SUM(B129:M129)</f>
        <v>2416286.2792081814</v>
      </c>
    </row>
    <row r="130" spans="1:14" ht="15.75">
      <c r="A130" s="2" t="s">
        <v>39</v>
      </c>
      <c r="B130" s="21">
        <f>Inputs!$B$72/12</f>
        <v>5000</v>
      </c>
      <c r="C130" s="21">
        <f>Inputs!$B$72/12</f>
        <v>5000</v>
      </c>
      <c r="D130" s="21">
        <f>Inputs!$B$72/12</f>
        <v>5000</v>
      </c>
      <c r="E130" s="21">
        <f>Inputs!$B$72/12</f>
        <v>5000</v>
      </c>
      <c r="F130" s="21">
        <f>Inputs!$B$72/12</f>
        <v>5000</v>
      </c>
      <c r="G130" s="21">
        <f>Inputs!$B$72/12</f>
        <v>5000</v>
      </c>
      <c r="H130" s="21">
        <f>Inputs!$B$72/12</f>
        <v>5000</v>
      </c>
      <c r="I130" s="21">
        <f>Inputs!$B$72/12</f>
        <v>5000</v>
      </c>
      <c r="J130" s="21">
        <f>Inputs!$B$72/12</f>
        <v>5000</v>
      </c>
      <c r="K130" s="21">
        <f>Inputs!$B$72/12</f>
        <v>5000</v>
      </c>
      <c r="L130" s="21">
        <f>Inputs!$B$72/12</f>
        <v>5000</v>
      </c>
      <c r="M130" s="21">
        <f>Inputs!$B$72/12</f>
        <v>5000</v>
      </c>
      <c r="N130" s="21">
        <f aca="true" t="shared" si="18" ref="N130:N146">SUM(B130:M130)</f>
        <v>60000</v>
      </c>
    </row>
    <row r="131" spans="1:14" ht="15.75">
      <c r="A131" s="4" t="s">
        <v>41</v>
      </c>
      <c r="B131" s="21">
        <f>1/12*Inputs!$B$73</f>
        <v>10000</v>
      </c>
      <c r="C131" s="21">
        <f>1/12*Inputs!$B$73</f>
        <v>10000</v>
      </c>
      <c r="D131" s="21">
        <f>1/12*Inputs!$B$73</f>
        <v>10000</v>
      </c>
      <c r="E131" s="21">
        <f>1/12*Inputs!$B$73</f>
        <v>10000</v>
      </c>
      <c r="F131" s="21">
        <f>1/12*Inputs!$B$73</f>
        <v>10000</v>
      </c>
      <c r="G131" s="21">
        <f>1/12*Inputs!$B$73</f>
        <v>10000</v>
      </c>
      <c r="H131" s="21">
        <f>1/12*Inputs!$B$73</f>
        <v>10000</v>
      </c>
      <c r="I131" s="21">
        <f>1/12*Inputs!$B$73</f>
        <v>10000</v>
      </c>
      <c r="J131" s="21">
        <f>1/12*Inputs!$B$73</f>
        <v>10000</v>
      </c>
      <c r="K131" s="21">
        <f>1/12*Inputs!$B$73</f>
        <v>10000</v>
      </c>
      <c r="L131" s="21">
        <f>1/12*Inputs!$B$73</f>
        <v>10000</v>
      </c>
      <c r="M131" s="21">
        <f>1/12*Inputs!$B$73</f>
        <v>10000</v>
      </c>
      <c r="N131" s="21">
        <f t="shared" si="18"/>
        <v>120000</v>
      </c>
    </row>
    <row r="132" spans="1:14" ht="15.75">
      <c r="A132" s="4" t="s">
        <v>43</v>
      </c>
      <c r="B132" s="21">
        <f>B131*Inputs!$C$74</f>
        <v>2500</v>
      </c>
      <c r="C132" s="21">
        <f>C131*Inputs!$C$74</f>
        <v>2500</v>
      </c>
      <c r="D132" s="21">
        <f>D131*Inputs!$C$74</f>
        <v>2500</v>
      </c>
      <c r="E132" s="21">
        <f>E131*Inputs!$C$74</f>
        <v>2500</v>
      </c>
      <c r="F132" s="21">
        <f>F131*Inputs!$C$74</f>
        <v>2500</v>
      </c>
      <c r="G132" s="21">
        <f>G131*Inputs!$C$74</f>
        <v>2500</v>
      </c>
      <c r="H132" s="21">
        <f>H131*Inputs!$C$74</f>
        <v>2500</v>
      </c>
      <c r="I132" s="21">
        <f>I131*Inputs!$C$74</f>
        <v>2500</v>
      </c>
      <c r="J132" s="21">
        <f>J131*Inputs!$C$74</f>
        <v>2500</v>
      </c>
      <c r="K132" s="21">
        <f>K131*Inputs!$C$74</f>
        <v>2500</v>
      </c>
      <c r="L132" s="21">
        <f>L131*Inputs!$C$74</f>
        <v>2500</v>
      </c>
      <c r="M132" s="21">
        <f>M131*Inputs!$C$74</f>
        <v>2500</v>
      </c>
      <c r="N132" s="21">
        <f t="shared" si="18"/>
        <v>30000</v>
      </c>
    </row>
    <row r="133" spans="1:14" ht="15.75">
      <c r="A133" s="2" t="s">
        <v>45</v>
      </c>
      <c r="B133" s="21">
        <f>'Prices and Spreads'!C$43*Inventories!B$74*Inputs!$B$75/12</f>
        <v>707.1428571428572</v>
      </c>
      <c r="C133" s="21">
        <f>'Prices and Spreads'!D$43*Inventories!C$74*Inputs!$B$75/12</f>
        <v>707.1428571428572</v>
      </c>
      <c r="D133" s="21">
        <f>'Prices and Spreads'!E$43*Inventories!D$74*Inputs!$B$75/12</f>
        <v>680.9523809523811</v>
      </c>
      <c r="E133" s="21">
        <f>'Prices and Spreads'!F$43*Inventories!E$74*Inputs!$B$75/12</f>
        <v>571.4285714285714</v>
      </c>
      <c r="F133" s="21">
        <f>'Prices and Spreads'!G$43*Inventories!F$74*Inputs!$B$75/12</f>
        <v>514.2857142857142</v>
      </c>
      <c r="G133" s="21">
        <f>'Prices and Spreads'!H$43*Inventories!G$74*Inputs!$B$75/12</f>
        <v>514.2857142857142</v>
      </c>
      <c r="H133" s="21">
        <f>'Prices and Spreads'!I$43*Inventories!H$74*Inputs!$B$75/12</f>
        <v>514.2857142857142</v>
      </c>
      <c r="I133" s="21">
        <f>'Prices and Spreads'!J$43*Inventories!I$74*Inputs!$B$75/12</f>
        <v>514.2857142857142</v>
      </c>
      <c r="J133" s="21">
        <f>'Prices and Spreads'!K$43*Inventories!J$74*Inputs!$B$75/12</f>
        <v>595.2380952380953</v>
      </c>
      <c r="K133" s="21">
        <f>'Prices and Spreads'!L$42*Inventories!K$74*Inputs!$B$75/12</f>
        <v>642.8571428571429</v>
      </c>
      <c r="L133" s="21">
        <f>'Prices and Spreads'!M$42*Inventories!L$74*Inputs!$B$75/12</f>
        <v>642.8571428571429</v>
      </c>
      <c r="M133" s="21">
        <f>'Prices and Spreads'!N$42*Inventories!M$74*Inputs!$B$75/12</f>
        <v>707.1428571428572</v>
      </c>
      <c r="N133" s="21">
        <f t="shared" si="18"/>
        <v>7311.9047619047615</v>
      </c>
    </row>
    <row r="134" spans="1:14" ht="15.75">
      <c r="A134" s="4" t="s">
        <v>46</v>
      </c>
      <c r="B134" s="21">
        <f>'Prices and Spreads'!C$44*Inventories!B$74*Inputs!$B$76/12</f>
        <v>1566.9642857142856</v>
      </c>
      <c r="C134" s="21">
        <f>'Prices and Spreads'!D$44*Inventories!C$74*Inputs!$B$76/12</f>
        <v>1566.9642857142856</v>
      </c>
      <c r="D134" s="21">
        <f>'Prices and Spreads'!E$44*Inventories!D$74*Inputs!$B$76/12</f>
        <v>1508.9285714285716</v>
      </c>
      <c r="E134" s="21">
        <f>'Prices and Spreads'!F$44*Inventories!E$74*Inputs!$B$76/12</f>
        <v>1071.4285714285713</v>
      </c>
      <c r="F134" s="21">
        <f>'Prices and Spreads'!G$44*Inventories!F$74*Inputs!$B$76/12</f>
        <v>750</v>
      </c>
      <c r="G134" s="21">
        <f>'Prices and Spreads'!H$44*Inventories!G$74*Inputs!$B$76/12</f>
        <v>750</v>
      </c>
      <c r="H134" s="21">
        <f>'Prices and Spreads'!I$44*Inventories!H$74*Inputs!$B$76/12</f>
        <v>750</v>
      </c>
      <c r="I134" s="21">
        <f>'Prices and Spreads'!J$44*Inventories!I$74*Inputs!$B$76/12</f>
        <v>750</v>
      </c>
      <c r="J134" s="21">
        <f>'Prices and Spreads'!K$44*Inventories!J$74*Inputs!$B$76/12</f>
        <v>781.25</v>
      </c>
      <c r="K134" s="21">
        <f>'Prices and Spreads'!L$43*Inventories!K$74*Inputs!$B$76/12</f>
        <v>1205.357142857143</v>
      </c>
      <c r="L134" s="21">
        <f>'Prices and Spreads'!M$43*Inventories!L$74*Inputs!$B$76/12</f>
        <v>1566.9642857142856</v>
      </c>
      <c r="M134" s="21">
        <f>'Prices and Spreads'!N$43*Inventories!M$74*Inputs!$B$76/12</f>
        <v>1566.9642857142856</v>
      </c>
      <c r="N134" s="21">
        <f t="shared" si="18"/>
        <v>13834.82142857143</v>
      </c>
    </row>
    <row r="135" spans="1:14" ht="15.75">
      <c r="A135" s="2" t="s">
        <v>47</v>
      </c>
      <c r="B135" s="21">
        <f>Inventories!B$74*Inputs!$B$77/12</f>
        <v>1205.357142857143</v>
      </c>
      <c r="C135" s="21">
        <f>Inventories!C$74*Inputs!$B$77/12</f>
        <v>1205.357142857143</v>
      </c>
      <c r="D135" s="21">
        <f>Inventories!D$74*Inputs!$B$77/12</f>
        <v>1160.7142857142858</v>
      </c>
      <c r="E135" s="21">
        <f>Inventories!E$74*Inputs!$B$77/12</f>
        <v>1071.4285714285713</v>
      </c>
      <c r="F135" s="21">
        <f>Inventories!F$74*Inputs!$B$77/12</f>
        <v>1071.4285714285713</v>
      </c>
      <c r="G135" s="21">
        <f>Inventories!G$74*Inputs!$B$77/12</f>
        <v>1071.4285714285713</v>
      </c>
      <c r="H135" s="21">
        <f>Inventories!H$74*Inputs!$B$77/12</f>
        <v>1071.4285714285713</v>
      </c>
      <c r="I135" s="21">
        <f>Inventories!I$74*Inputs!$B$77/12</f>
        <v>1071.4285714285713</v>
      </c>
      <c r="J135" s="21">
        <f>Inventories!J$74*Inputs!$B$77/12</f>
        <v>1116.0714285714287</v>
      </c>
      <c r="K135" s="21">
        <f>Inventories!K$74*Inputs!$B$77/12</f>
        <v>1205.357142857143</v>
      </c>
      <c r="L135" s="21">
        <f>Inventories!L$74*Inputs!$B$77/12</f>
        <v>1205.357142857143</v>
      </c>
      <c r="M135" s="21">
        <f>Inventories!M$74*Inputs!$B$77/12</f>
        <v>1205.357142857143</v>
      </c>
      <c r="N135" s="21">
        <f t="shared" si="18"/>
        <v>13660.714285714288</v>
      </c>
    </row>
    <row r="136" spans="1:14" ht="15.75">
      <c r="A136" s="2" t="s">
        <v>48</v>
      </c>
      <c r="B136" s="21">
        <f>Inputs!$B$78/12</f>
        <v>250</v>
      </c>
      <c r="C136" s="21">
        <f>Inputs!$B$78/12</f>
        <v>250</v>
      </c>
      <c r="D136" s="21">
        <f>Inputs!$B$78/12</f>
        <v>250</v>
      </c>
      <c r="E136" s="21">
        <f>Inputs!$B$78/12</f>
        <v>250</v>
      </c>
      <c r="F136" s="21">
        <f>Inputs!$B$78/12</f>
        <v>250</v>
      </c>
      <c r="G136" s="21">
        <f>Inputs!$B$78/12</f>
        <v>250</v>
      </c>
      <c r="H136" s="21">
        <f>Inputs!$B$78/12</f>
        <v>250</v>
      </c>
      <c r="I136" s="21">
        <f>Inputs!$B$78/12</f>
        <v>250</v>
      </c>
      <c r="J136" s="21">
        <f>Inputs!$B$78/12</f>
        <v>250</v>
      </c>
      <c r="K136" s="21">
        <f>Inputs!$B$78/12</f>
        <v>250</v>
      </c>
      <c r="L136" s="21">
        <f>Inputs!$B$78/12</f>
        <v>250</v>
      </c>
      <c r="M136" s="21">
        <f>Inputs!$B$78/12</f>
        <v>250</v>
      </c>
      <c r="N136" s="21">
        <f t="shared" si="18"/>
        <v>3000</v>
      </c>
    </row>
    <row r="137" spans="1:14" ht="15.75">
      <c r="A137" s="4" t="s">
        <v>49</v>
      </c>
      <c r="B137" s="21">
        <v>0</v>
      </c>
      <c r="C137" s="21">
        <v>0</v>
      </c>
      <c r="D137" s="21">
        <f>Inputs!$B$79/2</f>
        <v>14350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f>Inputs!$B$79/2</f>
        <v>14350</v>
      </c>
      <c r="K137" s="21">
        <v>0</v>
      </c>
      <c r="L137" s="21">
        <v>0</v>
      </c>
      <c r="M137" s="21">
        <v>0</v>
      </c>
      <c r="N137" s="21">
        <f t="shared" si="18"/>
        <v>28700</v>
      </c>
    </row>
    <row r="138" spans="1:14" ht="15.75">
      <c r="A138" s="4" t="s">
        <v>51</v>
      </c>
      <c r="B138" s="21">
        <f>Inputs!$B$80/12</f>
        <v>2562.5</v>
      </c>
      <c r="C138" s="21">
        <f>Inputs!$B$80/12</f>
        <v>2562.5</v>
      </c>
      <c r="D138" s="21">
        <f>Inputs!$B$80/12</f>
        <v>2562.5</v>
      </c>
      <c r="E138" s="21">
        <f>Inputs!$B$80/12</f>
        <v>2562.5</v>
      </c>
      <c r="F138" s="21">
        <f>Inputs!$B$80/12</f>
        <v>2562.5</v>
      </c>
      <c r="G138" s="21">
        <f>Inputs!$B$80/12</f>
        <v>2562.5</v>
      </c>
      <c r="H138" s="21">
        <f>Inputs!$B$80/12</f>
        <v>2562.5</v>
      </c>
      <c r="I138" s="21">
        <f>Inputs!$B$80/12</f>
        <v>2562.5</v>
      </c>
      <c r="J138" s="21">
        <f>Inputs!$B$80/12</f>
        <v>2562.5</v>
      </c>
      <c r="K138" s="21">
        <f>Inputs!$B$80/12</f>
        <v>2562.5</v>
      </c>
      <c r="L138" s="21">
        <f>Inputs!$B$80/12</f>
        <v>2562.5</v>
      </c>
      <c r="M138" s="21">
        <f>Inputs!$B$80/12</f>
        <v>2562.5</v>
      </c>
      <c r="N138" s="21">
        <f t="shared" si="18"/>
        <v>30750</v>
      </c>
    </row>
    <row r="139" spans="1:14" ht="15.75">
      <c r="A139" s="4" t="s">
        <v>448</v>
      </c>
      <c r="B139" s="21">
        <f>-1*M106*Inputs!$D62/12</f>
        <v>-196.7461202212364</v>
      </c>
      <c r="C139" s="21">
        <f>-1*B160*Inputs!$D62/12</f>
        <v>-381.67217869718183</v>
      </c>
      <c r="D139" s="21">
        <f>-1*C160*Inputs!$D62/12</f>
        <v>-184.52589954044288</v>
      </c>
      <c r="E139" s="21">
        <f>-1*D160*Inputs!$D62/12</f>
        <v>-145.15015915630693</v>
      </c>
      <c r="F139" s="21">
        <f>-1*E160*Inputs!$D62/12</f>
        <v>-249.39985031071674</v>
      </c>
      <c r="G139" s="21">
        <f>-1*F160*Inputs!$D62/12</f>
        <v>-161.2414219199943</v>
      </c>
      <c r="H139" s="21">
        <f>-1*G160*Inputs!$D62/12</f>
        <v>-142.95192266697381</v>
      </c>
      <c r="I139" s="21">
        <f>-1*H160*Inputs!$D62/12</f>
        <v>-158.83936589651822</v>
      </c>
      <c r="J139" s="21">
        <f>-1*I160*Inputs!$D62/12</f>
        <v>-129.7075751581635</v>
      </c>
      <c r="K139" s="21">
        <f>-1*J160*Inputs!$D62/12</f>
        <v>-251.01812737395426</v>
      </c>
      <c r="L139" s="21">
        <f>-1*K160*Inputs!$D62/12</f>
        <v>-154.2344953762068</v>
      </c>
      <c r="M139" s="21">
        <f>-1*L160*Inputs!$D62/12</f>
        <v>-237.19383008193196</v>
      </c>
      <c r="N139" s="21">
        <f t="shared" si="18"/>
        <v>-2392.680946399628</v>
      </c>
    </row>
    <row r="140" spans="1:14" ht="15.75">
      <c r="A140" s="11" t="s">
        <v>52</v>
      </c>
      <c r="B140" s="21">
        <f>Inputs!$B$81/12</f>
        <v>2579.1666666666665</v>
      </c>
      <c r="C140" s="21">
        <f>Inputs!$B$81/12</f>
        <v>2579.1666666666665</v>
      </c>
      <c r="D140" s="21">
        <f>Inputs!$B$81/12</f>
        <v>2579.1666666666665</v>
      </c>
      <c r="E140" s="21">
        <f>Inputs!$B$81/12</f>
        <v>2579.1666666666665</v>
      </c>
      <c r="F140" s="21">
        <f>Inputs!$B$81/12</f>
        <v>2579.1666666666665</v>
      </c>
      <c r="G140" s="21">
        <f>Inputs!$B$81/12</f>
        <v>2579.1666666666665</v>
      </c>
      <c r="H140" s="21">
        <f>Inputs!$B$81/12</f>
        <v>2579.1666666666665</v>
      </c>
      <c r="I140" s="21">
        <f>Inputs!$B$81/12</f>
        <v>2579.1666666666665</v>
      </c>
      <c r="J140" s="21">
        <f>Inputs!$B$81/12</f>
        <v>2579.1666666666665</v>
      </c>
      <c r="K140" s="21">
        <f>Inputs!$B$81/12</f>
        <v>2579.1666666666665</v>
      </c>
      <c r="L140" s="21">
        <f>Inputs!$B$81/12</f>
        <v>2579.1666666666665</v>
      </c>
      <c r="M140" s="21">
        <f>Inputs!$B$81/12</f>
        <v>2579.1666666666665</v>
      </c>
      <c r="N140" s="21">
        <f t="shared" si="18"/>
        <v>30950.000000000004</v>
      </c>
    </row>
    <row r="141" spans="1:14" ht="15.75">
      <c r="A141" s="11" t="s">
        <v>53</v>
      </c>
      <c r="B141" s="21">
        <f>Inputs!$B$82/12</f>
        <v>1666.6666666666667</v>
      </c>
      <c r="C141" s="21">
        <f>Inputs!$B$82/12</f>
        <v>1666.6666666666667</v>
      </c>
      <c r="D141" s="21">
        <f>Inputs!$B$82/12</f>
        <v>1666.6666666666667</v>
      </c>
      <c r="E141" s="21">
        <f>Inputs!$B$82/12</f>
        <v>1666.6666666666667</v>
      </c>
      <c r="F141" s="21">
        <f>Inputs!$B$82/12</f>
        <v>1666.6666666666667</v>
      </c>
      <c r="G141" s="21">
        <f>Inputs!$B$82/12</f>
        <v>1666.6666666666667</v>
      </c>
      <c r="H141" s="21">
        <f>Inputs!$B$82/12</f>
        <v>1666.6666666666667</v>
      </c>
      <c r="I141" s="21">
        <f>Inputs!$B$82/12</f>
        <v>1666.6666666666667</v>
      </c>
      <c r="J141" s="21">
        <f>Inputs!$B$82/12</f>
        <v>1666.6666666666667</v>
      </c>
      <c r="K141" s="21">
        <f>Inputs!$B$82/12</f>
        <v>1666.6666666666667</v>
      </c>
      <c r="L141" s="21">
        <f>Inputs!$B$82/12</f>
        <v>1666.6666666666667</v>
      </c>
      <c r="M141" s="21">
        <f>Inputs!$B$82/12</f>
        <v>1666.6666666666667</v>
      </c>
      <c r="N141" s="21">
        <f t="shared" si="18"/>
        <v>20000</v>
      </c>
    </row>
    <row r="142" spans="1:17" ht="15.75">
      <c r="A142" s="11" t="s">
        <v>347</v>
      </c>
      <c r="B142" s="21">
        <f>Inputs!$B69*(B123+B124+H70+G69)*('Prices and Spreads'!$J$14+'Prices and Spreads'!$K$14)/4</f>
        <v>0</v>
      </c>
      <c r="C142" s="21">
        <f>Inputs!$B69*(C123+C124+I70+H69)*('Prices and Spreads'!$J$14+'Prices and Spreads'!$K$14)/4</f>
        <v>0</v>
      </c>
      <c r="D142" s="21">
        <f>Inputs!$B69*(D123+D124+J70+I69)*('Prices and Spreads'!$J$14+'Prices and Spreads'!$K$14)/4</f>
        <v>0</v>
      </c>
      <c r="E142" s="21">
        <f>Inputs!$B69*(E123+E124+K70+J69)*('Prices and Spreads'!$J$14+'Prices and Spreads'!$K$14)/4</f>
        <v>0</v>
      </c>
      <c r="F142" s="21">
        <f>Inputs!$B69*(F123+F124+L70+K69)*('Prices and Spreads'!$J$14+'Prices and Spreads'!$K$14)/4</f>
        <v>0</v>
      </c>
      <c r="G142" s="21">
        <f>Inputs!$B69*(G123+G124+M70+L69)*('Prices and Spreads'!$J$14+'Prices and Spreads'!$K$14)/4</f>
        <v>0</v>
      </c>
      <c r="H142" s="21">
        <f>Inputs!$B69*(H123+H124+N70+M69)*('Prices and Spreads'!$J$14+'Prices and Spreads'!$K$14)/4</f>
        <v>0</v>
      </c>
      <c r="I142" s="21">
        <f>Inputs!$B69*(I123+I124+O70+N69)*('Prices and Spreads'!$J$14+'Prices and Spreads'!$K$14)/4</f>
        <v>0</v>
      </c>
      <c r="J142" s="21">
        <f>Inputs!$B69*(J123+J124+P70+O69)*('Prices and Spreads'!$J$14+'Prices and Spreads'!$K$14)/4</f>
        <v>0</v>
      </c>
      <c r="K142" s="21">
        <f>Inputs!$B69*(K123+K124+Q70+P69)*('Prices and Spreads'!$J$14+'Prices and Spreads'!$K$14)/4</f>
        <v>0</v>
      </c>
      <c r="L142" s="21">
        <f>Inputs!$B69*(L123+L124+R70+Q69)*('Prices and Spreads'!$J$14+'Prices and Spreads'!$K$14)/4</f>
        <v>0</v>
      </c>
      <c r="M142" s="21">
        <f>Inputs!$B69*(M123+M124+S70+R69)*('Prices and Spreads'!$J$14+'Prices and Spreads'!$K$14)/4</f>
        <v>0</v>
      </c>
      <c r="N142" s="21">
        <f>SUM(B142:M142)</f>
        <v>0</v>
      </c>
      <c r="Q142" s="21"/>
    </row>
    <row r="143" spans="1:14" ht="15.75">
      <c r="A143" s="11" t="s">
        <v>340</v>
      </c>
      <c r="B143" s="21">
        <v>0</v>
      </c>
      <c r="C143" s="21">
        <v>0</v>
      </c>
      <c r="D143" s="21">
        <v>0</v>
      </c>
      <c r="E143" s="21">
        <v>0</v>
      </c>
      <c r="F143" s="21">
        <f>Inputs!$B$84/12</f>
        <v>0</v>
      </c>
      <c r="G143" s="21">
        <f>Inputs!$B$84/12</f>
        <v>0</v>
      </c>
      <c r="H143" s="21">
        <f>Inputs!$B$84/12</f>
        <v>0</v>
      </c>
      <c r="I143" s="21">
        <f>Inputs!$B$84/12</f>
        <v>0</v>
      </c>
      <c r="J143" s="21">
        <f>Inputs!$B$84/12</f>
        <v>0</v>
      </c>
      <c r="K143" s="21">
        <f>Inputs!$B$84/12</f>
        <v>0</v>
      </c>
      <c r="L143" s="21">
        <f>Inputs!$B$84/12</f>
        <v>0</v>
      </c>
      <c r="M143" s="21">
        <f>Inputs!$B$84/12</f>
        <v>0</v>
      </c>
      <c r="N143" s="21">
        <f t="shared" si="18"/>
        <v>0</v>
      </c>
    </row>
    <row r="144" spans="1:14" ht="15.75">
      <c r="A144" s="11" t="s">
        <v>54</v>
      </c>
      <c r="B144" s="21">
        <v>0</v>
      </c>
      <c r="C144" s="21">
        <v>0</v>
      </c>
      <c r="D144" s="21">
        <v>0</v>
      </c>
      <c r="E144" s="21">
        <v>0</v>
      </c>
      <c r="F144" s="21">
        <f>Inputs!$B$85/12</f>
        <v>0</v>
      </c>
      <c r="G144" s="21">
        <f>Inputs!$B$85/12</f>
        <v>0</v>
      </c>
      <c r="H144" s="21">
        <f>Inputs!$B$85/12</f>
        <v>0</v>
      </c>
      <c r="I144" s="21">
        <f>Inputs!$B$85/12</f>
        <v>0</v>
      </c>
      <c r="J144" s="21">
        <f>Inputs!$B$85/12</f>
        <v>0</v>
      </c>
      <c r="K144" s="21">
        <f>Inputs!$B$85/12</f>
        <v>0</v>
      </c>
      <c r="L144" s="21">
        <f>Inputs!$B$85/12</f>
        <v>0</v>
      </c>
      <c r="M144" s="21">
        <f>Inputs!$B$85/12</f>
        <v>0</v>
      </c>
      <c r="N144" s="21">
        <f t="shared" si="18"/>
        <v>0</v>
      </c>
    </row>
    <row r="145" spans="1:14" ht="15.75">
      <c r="A145" s="11" t="s">
        <v>54</v>
      </c>
      <c r="B145" s="21">
        <v>0</v>
      </c>
      <c r="C145" s="21">
        <v>0</v>
      </c>
      <c r="D145" s="21">
        <v>0</v>
      </c>
      <c r="E145" s="21">
        <v>0</v>
      </c>
      <c r="F145" s="21">
        <f>Inputs!$B$86/12</f>
        <v>0</v>
      </c>
      <c r="G145" s="21">
        <f>Inputs!$B$86/12</f>
        <v>0</v>
      </c>
      <c r="H145" s="21">
        <f>Inputs!$B$86/12</f>
        <v>0</v>
      </c>
      <c r="I145" s="21">
        <f>Inputs!$B$86/12</f>
        <v>0</v>
      </c>
      <c r="J145" s="21">
        <f>Inputs!$B$86/12</f>
        <v>0</v>
      </c>
      <c r="K145" s="21">
        <f>Inputs!$B$86/12</f>
        <v>0</v>
      </c>
      <c r="L145" s="21">
        <f>Inputs!$B$86/12</f>
        <v>0</v>
      </c>
      <c r="M145" s="21">
        <f>Inputs!$B$86/12</f>
        <v>0</v>
      </c>
      <c r="N145" s="21">
        <f t="shared" si="18"/>
        <v>0</v>
      </c>
    </row>
    <row r="146" spans="1:14" ht="15.75">
      <c r="A146" s="14" t="s">
        <v>135</v>
      </c>
      <c r="B146" s="21">
        <f>SUM(B127:B145)</f>
        <v>233197.08340437437</v>
      </c>
      <c r="C146" s="21">
        <f aca="true" t="shared" si="19" ref="C146:M146">SUM(C127:C145)</f>
        <v>238562.7769080234</v>
      </c>
      <c r="D146" s="21">
        <f t="shared" si="19"/>
        <v>248078.85486220743</v>
      </c>
      <c r="E146" s="21">
        <f t="shared" si="19"/>
        <v>220202.0624616074</v>
      </c>
      <c r="F146" s="21">
        <f t="shared" si="19"/>
        <v>222761.67510664347</v>
      </c>
      <c r="G146" s="21">
        <f t="shared" si="19"/>
        <v>228850.837024822</v>
      </c>
      <c r="H146" s="21">
        <f t="shared" si="19"/>
        <v>231953.49230870514</v>
      </c>
      <c r="I146" s="21">
        <f t="shared" si="19"/>
        <v>239942.04346612783</v>
      </c>
      <c r="J146" s="21">
        <f t="shared" si="19"/>
        <v>229540.2484128474</v>
      </c>
      <c r="K146" s="21">
        <f t="shared" si="19"/>
        <v>227166.29897795388</v>
      </c>
      <c r="L146" s="21">
        <f t="shared" si="19"/>
        <v>224145.03778400747</v>
      </c>
      <c r="M146" s="21">
        <f t="shared" si="19"/>
        <v>227700.62802065248</v>
      </c>
      <c r="N146" s="21">
        <f t="shared" si="18"/>
        <v>2772101.0387379723</v>
      </c>
    </row>
    <row r="147" spans="1:14" ht="15.75">
      <c r="A147" s="1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5.75">
      <c r="A148" s="14" t="s">
        <v>136</v>
      </c>
      <c r="B148" s="21">
        <f>B146+B120</f>
        <v>233197.08340437437</v>
      </c>
      <c r="C148" s="21">
        <f aca="true" t="shared" si="20" ref="C148:N148">C146+C120</f>
        <v>238562.7769080234</v>
      </c>
      <c r="D148" s="21">
        <f t="shared" si="20"/>
        <v>248078.85486220743</v>
      </c>
      <c r="E148" s="21">
        <f t="shared" si="20"/>
        <v>220202.0624616074</v>
      </c>
      <c r="F148" s="21">
        <f t="shared" si="20"/>
        <v>222761.67510664347</v>
      </c>
      <c r="G148" s="21">
        <f t="shared" si="20"/>
        <v>228850.837024822</v>
      </c>
      <c r="H148" s="21">
        <f t="shared" si="20"/>
        <v>231953.49230870514</v>
      </c>
      <c r="I148" s="21">
        <f t="shared" si="20"/>
        <v>239942.04346612783</v>
      </c>
      <c r="J148" s="21">
        <f t="shared" si="20"/>
        <v>229540.2484128474</v>
      </c>
      <c r="K148" s="21">
        <f t="shared" si="20"/>
        <v>227166.29897795388</v>
      </c>
      <c r="L148" s="21">
        <f t="shared" si="20"/>
        <v>224145.03778400747</v>
      </c>
      <c r="M148" s="21">
        <f t="shared" si="20"/>
        <v>227700.62802065248</v>
      </c>
      <c r="N148" s="21">
        <f t="shared" si="20"/>
        <v>2772101.0387379723</v>
      </c>
    </row>
    <row r="150" ht="15.75">
      <c r="A150" s="18" t="s">
        <v>35</v>
      </c>
    </row>
    <row r="151" spans="1:14" ht="15.75">
      <c r="A151" s="2" t="s">
        <v>329</v>
      </c>
      <c r="B151" s="109">
        <f>Inputs!$B$69*(H71*(1-'Prices and Spreads'!$K$13)*'Prices and Spreads'!$K$6+G70*(1-'Prices and Spreads'!$J$13)*'Prices and Spreads'!$J$6)*'Prices and Spreads'!$E$15*'Prices and Spreads'!C$48/100</f>
        <v>0</v>
      </c>
      <c r="C151" s="109">
        <f>Inputs!$B$69*(I71*(1-'Prices and Spreads'!$K$13)*'Prices and Spreads'!$K$6+H70*(1-'Prices and Spreads'!$J$13)*'Prices and Spreads'!$J$6)*'Prices and Spreads'!$E$15*'Prices and Spreads'!D$48/100</f>
        <v>0</v>
      </c>
      <c r="D151" s="109">
        <f>Inputs!$B$69*(J71*(1-'Prices and Spreads'!$K$13)*'Prices and Spreads'!$K$6+I70*(1-'Prices and Spreads'!$J$13)*'Prices and Spreads'!$J$6)*'Prices and Spreads'!$E$15*'Prices and Spreads'!E$48/100</f>
        <v>0</v>
      </c>
      <c r="E151" s="109">
        <f>Inputs!$B$69*(K71*(1-'Prices and Spreads'!$K$13)*'Prices and Spreads'!$K$6+J70*(1-'Prices and Spreads'!$J$13)*'Prices and Spreads'!$J$6)*'Prices and Spreads'!$E$15*'Prices and Spreads'!F$48/100</f>
        <v>0</v>
      </c>
      <c r="F151" s="109">
        <f>Inputs!$B$69*(L71*(1-'Prices and Spreads'!$K$13)*'Prices and Spreads'!$K$6+K70*(1-'Prices and Spreads'!$J$13)*'Prices and Spreads'!$J$6)*'Prices and Spreads'!$E$15*'Prices and Spreads'!G$48/100</f>
        <v>0</v>
      </c>
      <c r="G151" s="109">
        <f>Inputs!$B$69*(M71*(1-'Prices and Spreads'!$K$13)*'Prices and Spreads'!$K$6+L70*(1-'Prices and Spreads'!$J$13)*'Prices and Spreads'!$J$6)*'Prices and Spreads'!$E$15*'Prices and Spreads'!H$48/100</f>
        <v>0</v>
      </c>
      <c r="H151" s="109">
        <f>Inputs!$B$69*(B124*(1-'Prices and Spreads'!$K$13)*'Prices and Spreads'!$K$6+M70*(1-'Prices and Spreads'!$J$13)*'Prices and Spreads'!$J$6)*'Prices and Spreads'!$E$15*'Prices and Spreads'!I$48/100</f>
        <v>0</v>
      </c>
      <c r="I151" s="109">
        <f>Inputs!$B$69*(C124*(1-'Prices and Spreads'!$K$13)*'Prices and Spreads'!$K$6+B123*(1-'Prices and Spreads'!$J$13)*'Prices and Spreads'!$J$6)*'Prices and Spreads'!$E$15*'Prices and Spreads'!J$48/100</f>
        <v>0</v>
      </c>
      <c r="J151" s="109">
        <f>Inputs!$B$69*(D124*(1-'Prices and Spreads'!$K$13)*'Prices and Spreads'!$K$6+C123*(1-'Prices and Spreads'!$J$13)*'Prices and Spreads'!$J$6)*'Prices and Spreads'!$E$15*'Prices and Spreads'!K$48/100</f>
        <v>0</v>
      </c>
      <c r="K151" s="109">
        <f>Inputs!$B$69*(E124*(1-'Prices and Spreads'!$K$13)*'Prices and Spreads'!$K$6+D123*(1-'Prices and Spreads'!$J$13)*'Prices and Spreads'!$J$6)*'Prices and Spreads'!$E$15*'Prices and Spreads'!L$47/100</f>
        <v>0</v>
      </c>
      <c r="L151" s="109">
        <f>Inputs!$B$69*(F124*(1-'Prices and Spreads'!$K$13)*'Prices and Spreads'!$K$6+E123*(1-'Prices and Spreads'!$J$13)*'Prices and Spreads'!$J$6)*'Prices and Spreads'!$E$15*'Prices and Spreads'!M$47/100</f>
        <v>0</v>
      </c>
      <c r="M151" s="109">
        <f>Inputs!$B$69*(G124*(1-'Prices and Spreads'!$K$13)*'Prices and Spreads'!$K$6+F123*(1-'Prices and Spreads'!$J$13)*'Prices and Spreads'!$J$6)*'Prices and Spreads'!$E$15*'Prices and Spreads'!N$47/100</f>
        <v>0</v>
      </c>
      <c r="N151" s="21">
        <f>SUM(B151:M151)</f>
        <v>0</v>
      </c>
    </row>
    <row r="152" spans="1:14" ht="15.75">
      <c r="A152" s="2" t="s">
        <v>137</v>
      </c>
      <c r="B152" s="21">
        <f>(1-Inputs!$B$69)*(IF(Inputs!$B$70=1,M75/(1+Inputs!$B$71),IF(Inputs!$B$70=2,L75/(1+Inputs!$B$71),K75/(1+Inputs!$B$71))))</f>
        <v>194077.69342882215</v>
      </c>
      <c r="C152" s="21">
        <f>(1-Inputs!$B$69)*(IF(Inputs!$B$70=1,B129/(1+Inputs!$B$71),IF(Inputs!$B$70=2,M75/(1+Inputs!$B$71),L75/(1+Inputs!$B$71))))</f>
        <v>199374.7882578136</v>
      </c>
      <c r="D152" s="21">
        <f>(1-Inputs!$B$69)*(IF(Inputs!$B$70=1,C129/(1+Inputs!$B$71),IF(Inputs!$B$70=2,B129/(1+Inputs!$B$71),M75/(1+Inputs!$B$71))))</f>
        <v>204763.7392890029</v>
      </c>
      <c r="E152" s="21">
        <f>(1-Inputs!$B$69)*(IF(Inputs!$B$70=1,D129/(1+Inputs!$B$71),IF(Inputs!$B$70=2,C129/(1+Inputs!$B$71),B129/(1+Inputs!$B$71))))</f>
        <v>200004.3225148731</v>
      </c>
      <c r="F152" s="21">
        <f>(1-Inputs!$B$69)*(IF(Inputs!$B$70=1,E129/(1+Inputs!$B$71),IF(Inputs!$B$70=2,D129/(1+Inputs!$B$71),C129/(1+Inputs!$B$71))))</f>
        <v>187451.06172149963</v>
      </c>
      <c r="G152" s="21">
        <f>(1-Inputs!$B$69)*(IF(Inputs!$B$70=1,F129/(1+Inputs!$B$71),IF(Inputs!$B$70=2,E129/(1+Inputs!$B$71),D129/(1+Inputs!$B$71))))</f>
        <v>190404.88091058892</v>
      </c>
      <c r="H152" s="21">
        <f>(1-Inputs!$B$69)*(IF(Inputs!$B$70=1,G129/(1+Inputs!$B$71),IF(Inputs!$B$70=2,F129/(1+Inputs!$B$71),E129/(1+Inputs!$B$71))))</f>
        <v>196231.0978909654</v>
      </c>
      <c r="I152" s="21">
        <f>(1-Inputs!$B$69)*(IF(Inputs!$B$70=1,H129/(1+Inputs!$B$71),IF(Inputs!$B$70=2,G129/(1+Inputs!$B$71),F129/(1+Inputs!$B$71))))</f>
        <v>199225.62777895585</v>
      </c>
      <c r="J152" s="21">
        <f>(1-Inputs!$B$69)*(IF(Inputs!$B$70=1,I129/(1+Inputs!$B$71),IF(Inputs!$B$70=2,H129/(1+Inputs!$B$71),G129/(1+Inputs!$B$71))))</f>
        <v>206996.92739123953</v>
      </c>
      <c r="K152" s="21">
        <f>(1-Inputs!$B$69)*(IF(Inputs!$B$70=1,J129/(1+Inputs!$B$71),IF(Inputs!$B$70=2,I129/(1+Inputs!$B$71),H129/(1+Inputs!$B$71))))</f>
        <v>182785.49818530362</v>
      </c>
      <c r="L152" s="21">
        <f>(1-Inputs!$B$69)*(IF(Inputs!$B$70=1,K129/(1+Inputs!$B$71),IF(Inputs!$B$70=2,J129/(1+Inputs!$B$71),I129/(1+Inputs!$B$71))))</f>
        <v>193985.83722662437</v>
      </c>
      <c r="M152" s="21">
        <f>(1-Inputs!$B$69)*(IF(Inputs!$B$70=1,L129/(1+Inputs!$B$71),IF(Inputs!$B$70=2,K129/(1+Inputs!$B$71),J129/(1+Inputs!$B$71))))</f>
        <v>190607.534344293</v>
      </c>
      <c r="N152" s="21">
        <f>SUM(B152:M152)</f>
        <v>2345909.0089399824</v>
      </c>
    </row>
    <row r="153" spans="1:14" ht="15.75">
      <c r="A153" s="2" t="s">
        <v>138</v>
      </c>
      <c r="B153" s="122">
        <f>(1-Inputs!$B$69)*(ROUNDUP((Inventories!B$73/Inputs!$G$10),0))*Inputs!$G$10*Inputs!$G$69*30.5</f>
        <v>70821</v>
      </c>
      <c r="C153" s="122">
        <f>(1-Inputs!$B$69)*(ROUNDUP((Inventories!C$73/Inputs!$G$10),0))*Inputs!$G$10*Inputs!$G$69*30.5</f>
        <v>70821</v>
      </c>
      <c r="D153" s="122">
        <f>(1-Inputs!$B$69)*(ROUNDUP((Inventories!D$73/Inputs!$G$10),0))*Inputs!$G$10*Inputs!$G$69*30.5</f>
        <v>68198</v>
      </c>
      <c r="E153" s="122">
        <f>(1-Inputs!$B$69)*(ROUNDUP((Inventories!E$73/Inputs!$G$10),0))*Inputs!$G$10*Inputs!$G$69*30.5</f>
        <v>62952</v>
      </c>
      <c r="F153" s="122">
        <f>(1-Inputs!$B$69)*(ROUNDUP((Inventories!F$73/Inputs!$G$10),0))*Inputs!$G$10*Inputs!$G$69*30.5</f>
        <v>62952</v>
      </c>
      <c r="G153" s="122">
        <f>(1-Inputs!$B$69)*(ROUNDUP((Inventories!G$73/Inputs!$G$10),0))*Inputs!$G$10*Inputs!$G$69*30.5</f>
        <v>62952</v>
      </c>
      <c r="H153" s="122">
        <f>(1-Inputs!$B$69)*(ROUNDUP((Inventories!H$73/Inputs!$G$10),0))*Inputs!$G$10*Inputs!$G$69*30.5</f>
        <v>62952</v>
      </c>
      <c r="I153" s="122">
        <f>(1-Inputs!$B$69)*(ROUNDUP((Inventories!I$73/Inputs!$G$10),0))*Inputs!$G$10*Inputs!$G$69*30.5</f>
        <v>62952</v>
      </c>
      <c r="J153" s="122">
        <f>(1-Inputs!$B$69)*(ROUNDUP((Inventories!J$73/Inputs!$G$10),0))*Inputs!$G$10*Inputs!$G$69*30.5</f>
        <v>65575</v>
      </c>
      <c r="K153" s="122">
        <f>(1-Inputs!$B$69)*(ROUNDUP((Inventories!K$73/Inputs!$G$10),0))*Inputs!$G$10*Inputs!$G$69*30.5</f>
        <v>70821</v>
      </c>
      <c r="L153" s="122">
        <f>(1-Inputs!$B$69)*(ROUNDUP((Inventories!L$73/Inputs!$G$10),0))*Inputs!$G$10*Inputs!$G$69*30.5</f>
        <v>70821</v>
      </c>
      <c r="M153" s="122">
        <f>(1-Inputs!$B$69)*(ROUNDUP((Inventories!M$73/Inputs!$G$10),0))*Inputs!$G$10*Inputs!$G$69*30.5</f>
        <v>70821</v>
      </c>
      <c r="N153" s="21">
        <f>SUM(B153:M153)</f>
        <v>802638</v>
      </c>
    </row>
    <row r="154" spans="1:14" ht="15.75">
      <c r="A154" s="2" t="s">
        <v>139</v>
      </c>
      <c r="B154" s="21">
        <f>(1-Inputs!$B$69)*(Inputs!$G$70*(Inventories!B$71*'Diets and Performance'!$C$30*30.5+Inventories!B$72*'Diets and Performance'!$D$30*30.5)/2000)</f>
        <v>0</v>
      </c>
      <c r="C154" s="21">
        <f>(1-Inputs!$B$69)*(Inputs!$G$70*(Inventories!C$71*'Diets and Performance'!$C$30*30.5+Inventories!C$72*'Diets and Performance'!$D$30*30.5)/2000)</f>
        <v>0</v>
      </c>
      <c r="D154" s="21">
        <f>(1-Inputs!$B$69)*(Inputs!$G$70*(Inventories!D$71*'Diets and Performance'!$C$30*30.5+Inventories!D$72*'Diets and Performance'!$D$30*30.5)/2000)</f>
        <v>0</v>
      </c>
      <c r="E154" s="21">
        <f>(1-Inputs!$B$69)*(Inputs!$G$70*(Inventories!E$71*'Diets and Performance'!$C$30*30.5+Inventories!E$72*'Diets and Performance'!$D$30*30.5)/2000)</f>
        <v>0</v>
      </c>
      <c r="F154" s="21">
        <f>(1-Inputs!$B$69)*(Inputs!$G$70*(Inventories!F$71*'Diets and Performance'!$C$30*30.5+Inventories!F$72*'Diets and Performance'!$D$30*30.5)/2000)</f>
        <v>0</v>
      </c>
      <c r="G154" s="21">
        <f>(1-Inputs!$B$69)*(Inputs!$G$70*(Inventories!G$71*'Diets and Performance'!$C$30*30.5+Inventories!G$72*'Diets and Performance'!$D$30*30.5)/2000)</f>
        <v>0</v>
      </c>
      <c r="H154" s="21">
        <f>(1-Inputs!$B$69)*(Inputs!$G$70*(Inventories!H$71*'Diets and Performance'!$C$30*30.5+Inventories!H$72*'Diets and Performance'!$D$30*30.5)/2000)</f>
        <v>0</v>
      </c>
      <c r="I154" s="21">
        <f>(1-Inputs!$B$69)*(Inputs!$G$70*(Inventories!I$71*'Diets and Performance'!$C$30*30.5+Inventories!I$72*'Diets and Performance'!$D$30*30.5)/2000)</f>
        <v>0</v>
      </c>
      <c r="J154" s="21">
        <f>(1-Inputs!$B$69)*(Inputs!$G$70*(Inventories!J$71*'Diets and Performance'!$C$30*30.5+Inventories!J$72*'Diets and Performance'!$D$30*30.5)/2000)</f>
        <v>0</v>
      </c>
      <c r="K154" s="21">
        <f>(1-Inputs!$B$69)*(Inputs!$G$70*(Inventories!K$71*'Diets and Performance'!$C$30*30.5+Inventories!K$72*'Diets and Performance'!$D$30*30.5)/2000)</f>
        <v>0</v>
      </c>
      <c r="L154" s="21">
        <f>(1-Inputs!$B$69)*(Inputs!$G$70*(Inventories!L$71*'Diets and Performance'!$C$30*30.5+Inventories!L$72*'Diets and Performance'!$D$30*30.5)/2000)</f>
        <v>0</v>
      </c>
      <c r="M154" s="21">
        <f>(1-Inputs!$B$69)*(Inputs!$G$70*(Inventories!M$71*'Diets and Performance'!$C$30*30.5+Inventories!M$72*'Diets and Performance'!$D$30*30.5)/2000)</f>
        <v>0</v>
      </c>
      <c r="N154" s="21">
        <f>SUM(B154:M154)</f>
        <v>0</v>
      </c>
    </row>
    <row r="155" spans="1:14" ht="15.75">
      <c r="A155" s="2" t="s">
        <v>140</v>
      </c>
      <c r="B155" s="21">
        <f>(1-Inputs!$B$69)*(Inventories!B71+Inventories!B72)*Inputs!$G$71</f>
        <v>0</v>
      </c>
      <c r="C155" s="21">
        <f>(1-Inputs!$B$69)*(Inventories!C71+Inventories!C72)*Inputs!$G$71</f>
        <v>0</v>
      </c>
      <c r="D155" s="21">
        <f>(1-Inputs!$B$69)*(Inventories!D71+Inventories!D72)*Inputs!$G$71</f>
        <v>0</v>
      </c>
      <c r="E155" s="21">
        <f>(1-Inputs!$B$69)*(Inventories!E71+Inventories!E72)*Inputs!$G$71</f>
        <v>0</v>
      </c>
      <c r="F155" s="21">
        <f>(1-Inputs!$B$69)*(Inventories!F71+Inventories!F72)*Inputs!$G$71</f>
        <v>0</v>
      </c>
      <c r="G155" s="21">
        <f>(1-Inputs!$B$69)*(Inventories!G71+Inventories!G72)*Inputs!$G$71</f>
        <v>0</v>
      </c>
      <c r="H155" s="21">
        <f>(1-Inputs!$B$69)*(Inventories!H71+Inventories!H72)*Inputs!$G$71</f>
        <v>0</v>
      </c>
      <c r="I155" s="21">
        <f>(1-Inputs!$B$69)*(Inventories!I71+Inventories!I72)*Inputs!$G$71</f>
        <v>0</v>
      </c>
      <c r="J155" s="21">
        <f>(1-Inputs!$B$69)*(Inventories!J71+Inventories!J72)*Inputs!$G$71</f>
        <v>0</v>
      </c>
      <c r="K155" s="21">
        <f>(1-Inputs!$B$69)*(Inventories!K71+Inventories!K72)*Inputs!$G$71</f>
        <v>0</v>
      </c>
      <c r="L155" s="21">
        <f>(1-Inputs!$B$69)*(Inventories!L71+Inventories!L72)*Inputs!$G$71</f>
        <v>0</v>
      </c>
      <c r="M155" s="21">
        <f>(1-Inputs!$B$69)*(Inventories!M71+Inventories!M72)*Inputs!$G$71</f>
        <v>0</v>
      </c>
      <c r="N155" s="21">
        <f>SUM(B155:M155)</f>
        <v>0</v>
      </c>
    </row>
    <row r="156" spans="1:14" ht="15.75">
      <c r="A156" s="18" t="s">
        <v>141</v>
      </c>
      <c r="B156" s="21">
        <f>SUM(B151:B155)</f>
        <v>264898.69342882215</v>
      </c>
      <c r="C156" s="21">
        <f aca="true" t="shared" si="21" ref="C156:N156">SUM(C151:C155)</f>
        <v>270195.7882578136</v>
      </c>
      <c r="D156" s="21">
        <f t="shared" si="21"/>
        <v>272961.7392890029</v>
      </c>
      <c r="E156" s="21">
        <f t="shared" si="21"/>
        <v>262956.3225148731</v>
      </c>
      <c r="F156" s="21">
        <f t="shared" si="21"/>
        <v>250403.06172149963</v>
      </c>
      <c r="G156" s="21">
        <f t="shared" si="21"/>
        <v>253356.88091058892</v>
      </c>
      <c r="H156" s="21">
        <f t="shared" si="21"/>
        <v>259183.0978909654</v>
      </c>
      <c r="I156" s="21">
        <f t="shared" si="21"/>
        <v>262177.62777895585</v>
      </c>
      <c r="J156" s="21">
        <f t="shared" si="21"/>
        <v>272571.92739123956</v>
      </c>
      <c r="K156" s="21">
        <f t="shared" si="21"/>
        <v>253606.49818530362</v>
      </c>
      <c r="L156" s="21">
        <f t="shared" si="21"/>
        <v>264806.83722662437</v>
      </c>
      <c r="M156" s="21">
        <f t="shared" si="21"/>
        <v>261428.534344293</v>
      </c>
      <c r="N156" s="21">
        <f t="shared" si="21"/>
        <v>3148547.0089399824</v>
      </c>
    </row>
    <row r="158" spans="1:14" ht="15.75">
      <c r="A158" s="18" t="s">
        <v>142</v>
      </c>
      <c r="B158" s="21">
        <f>B156-B148</f>
        <v>31701.610024447786</v>
      </c>
      <c r="C158" s="21">
        <f aca="true" t="shared" si="22" ref="C158:N158">C156-C148</f>
        <v>31633.011349790206</v>
      </c>
      <c r="D158" s="21">
        <f t="shared" si="22"/>
        <v>24882.88442679547</v>
      </c>
      <c r="E158" s="21">
        <f t="shared" si="22"/>
        <v>42754.26005326572</v>
      </c>
      <c r="F158" s="21">
        <f t="shared" si="22"/>
        <v>27641.386614856165</v>
      </c>
      <c r="G158" s="21">
        <f t="shared" si="22"/>
        <v>24506.043885766936</v>
      </c>
      <c r="H158" s="21">
        <f t="shared" si="22"/>
        <v>27229.605582260265</v>
      </c>
      <c r="I158" s="21">
        <f t="shared" si="22"/>
        <v>22235.584312828025</v>
      </c>
      <c r="J158" s="21">
        <f t="shared" si="22"/>
        <v>43031.678978392156</v>
      </c>
      <c r="K158" s="21">
        <f t="shared" si="22"/>
        <v>26440.19920734974</v>
      </c>
      <c r="L158" s="21">
        <f t="shared" si="22"/>
        <v>40661.7994426169</v>
      </c>
      <c r="M158" s="21">
        <f t="shared" si="22"/>
        <v>33727.90632364052</v>
      </c>
      <c r="N158" s="21">
        <f t="shared" si="22"/>
        <v>376445.9702020101</v>
      </c>
    </row>
    <row r="159" ht="15.75">
      <c r="B159" s="21"/>
    </row>
    <row r="160" spans="1:14" ht="15.75">
      <c r="A160" s="18" t="s">
        <v>143</v>
      </c>
      <c r="B160" s="21">
        <f>(IF(A160=0,IF(B158&lt;0,1,0)*Inputs!$B$46+B158,M106+B158))</f>
        <v>65429.516348088306</v>
      </c>
      <c r="C160" s="21">
        <f>(IF(B160=0,IF(C158&lt;0,1,0)*Inputs!$B$46+C158,N106+C158))</f>
        <v>31633.011349790206</v>
      </c>
      <c r="D160" s="21">
        <f>(IF(C160=0,IF(D158&lt;0,1,0)*Inputs!$B$46+D158,O106+D158))</f>
        <v>24882.88442679547</v>
      </c>
      <c r="E160" s="21">
        <f>(IF(D160=0,IF(E158&lt;0,1,0)*Inputs!$B$46+E158,P106+E158))</f>
        <v>42754.26005326572</v>
      </c>
      <c r="F160" s="21">
        <f>(IF(E160=0,IF(F158&lt;0,1,0)*Inputs!$B$46+F158,Q106+F158))</f>
        <v>27641.386614856165</v>
      </c>
      <c r="G160" s="21">
        <f>(IF(F160=0,IF(G158&lt;0,1,0)*Inputs!$B$46+G158,R106+G158))</f>
        <v>24506.043885766936</v>
      </c>
      <c r="H160" s="21">
        <f>(IF(G160=0,IF(H158&lt;0,1,0)*Inputs!$B$46+H158,S106+H158))</f>
        <v>27229.605582260265</v>
      </c>
      <c r="I160" s="21">
        <f>(IF(H160=0,IF(I158&lt;0,1,0)*Inputs!$B$46+I158,T106+I158))</f>
        <v>22235.584312828025</v>
      </c>
      <c r="J160" s="21">
        <f>(IF(I160=0,IF(J158&lt;0,1,0)*Inputs!$B$46+J158,U106+J158))</f>
        <v>43031.678978392156</v>
      </c>
      <c r="K160" s="21">
        <f>(IF(J160=0,IF(K158&lt;0,1,0)*Inputs!$B$46+K158,V106+K158))</f>
        <v>26440.19920734974</v>
      </c>
      <c r="L160" s="21">
        <f>(IF(K160=0,IF(L158&lt;0,1,0)*Inputs!$B$46+L158,W106+L158))</f>
        <v>40661.7994426169</v>
      </c>
      <c r="M160" s="21">
        <f>(IF(L160=0,IF(M158&lt;0,1,0)*Inputs!$B$46+M158,X106+M158))</f>
        <v>33727.90632364052</v>
      </c>
      <c r="N160" s="21"/>
    </row>
    <row r="163" ht="15.75">
      <c r="A163" s="18" t="s">
        <v>128</v>
      </c>
    </row>
    <row r="164" ht="15.75">
      <c r="A164" s="18" t="s">
        <v>345</v>
      </c>
    </row>
    <row r="165" ht="15.75">
      <c r="A165" s="18" t="s">
        <v>130</v>
      </c>
    </row>
    <row r="166" spans="1:2" ht="15.75">
      <c r="A166" s="4" t="str">
        <f>Inputs!A$55</f>
        <v>Land</v>
      </c>
      <c r="B166" s="109">
        <f>N113</f>
        <v>0</v>
      </c>
    </row>
    <row r="167" spans="1:2" ht="15.75">
      <c r="A167" s="4" t="str">
        <f>Inputs!A$56</f>
        <v>Construction</v>
      </c>
      <c r="B167" s="109">
        <f aca="true" t="shared" si="23" ref="B167:B173">N114</f>
        <v>0</v>
      </c>
    </row>
    <row r="168" spans="1:2" ht="15.75">
      <c r="A168" s="4" t="str">
        <f>Inputs!A$57</f>
        <v>Equipment 1</v>
      </c>
      <c r="B168" s="109">
        <f t="shared" si="23"/>
        <v>0</v>
      </c>
    </row>
    <row r="169" spans="1:2" ht="15.75">
      <c r="A169" s="4" t="str">
        <f>Inputs!A$58</f>
        <v>Cattle Loans</v>
      </c>
      <c r="B169" s="109">
        <f t="shared" si="23"/>
        <v>0</v>
      </c>
    </row>
    <row r="170" spans="1:2" ht="15.75">
      <c r="A170" s="4" t="str">
        <f>Inputs!A$59</f>
        <v>Other loans (Overwrite)</v>
      </c>
      <c r="B170" s="109">
        <f t="shared" si="23"/>
        <v>0</v>
      </c>
    </row>
    <row r="171" spans="1:2" ht="15.75">
      <c r="A171" s="4" t="str">
        <f>Inputs!A$60</f>
        <v>Other loans (Overwrite)</v>
      </c>
      <c r="B171" s="109">
        <f t="shared" si="23"/>
        <v>0</v>
      </c>
    </row>
    <row r="172" spans="1:2" ht="15.75">
      <c r="A172" s="4" t="str">
        <f>Inputs!A$61</f>
        <v>Other loans (Overwrite)</v>
      </c>
      <c r="B172" s="109">
        <f t="shared" si="23"/>
        <v>0</v>
      </c>
    </row>
    <row r="173" spans="1:2" ht="15.75">
      <c r="A173" s="4" t="s">
        <v>132</v>
      </c>
      <c r="B173" s="109">
        <f t="shared" si="23"/>
        <v>0</v>
      </c>
    </row>
    <row r="174" ht="15.75">
      <c r="A174" s="4"/>
    </row>
    <row r="175" ht="15.75">
      <c r="A175" s="1" t="s">
        <v>133</v>
      </c>
    </row>
    <row r="176" spans="1:2" ht="15.75">
      <c r="A176" s="4" t="s">
        <v>338</v>
      </c>
      <c r="B176" s="109">
        <f>N123</f>
        <v>5000</v>
      </c>
    </row>
    <row r="177" spans="1:2" ht="15.75">
      <c r="A177" s="4" t="s">
        <v>334</v>
      </c>
      <c r="B177" s="109">
        <f>N124</f>
        <v>5200</v>
      </c>
    </row>
    <row r="178" spans="1:2" ht="15.75">
      <c r="A178" s="4" t="s">
        <v>335</v>
      </c>
      <c r="B178" s="116">
        <f>'Prices and Spreads'!G13</f>
        <v>89</v>
      </c>
    </row>
    <row r="179" spans="1:2" ht="15.75">
      <c r="A179" s="4" t="s">
        <v>336</v>
      </c>
      <c r="B179" s="116">
        <f>'Prices and Spreads'!G14</f>
        <v>82</v>
      </c>
    </row>
    <row r="180" spans="1:2" ht="15.75">
      <c r="A180" s="4" t="s">
        <v>328</v>
      </c>
      <c r="B180" s="109">
        <f>Inputs!B69*(B$176*B$178*'Prices and Spreads'!$J$4/100+B$177*B$179*'Prices and Spreads'!$K$4/100)</f>
        <v>0</v>
      </c>
    </row>
    <row r="181" spans="1:2" ht="15.75">
      <c r="A181" s="4" t="s">
        <v>339</v>
      </c>
      <c r="B181" s="109">
        <f>Inputs!B69*((B$176*B$178*'Prices and Spreads'!$J$4/100)*'Prices and Spreads'!J7/365+(B$177*B$179*'Prices and Spreads'!$K$4/100)*'Prices and Spreads'!K7/365)*Inputs!D58</f>
        <v>0</v>
      </c>
    </row>
    <row r="182" spans="1:2" ht="15.75">
      <c r="A182" s="4" t="s">
        <v>134</v>
      </c>
      <c r="B182" s="109">
        <f>N129/'Prices and Spreads'!F5*'Prices and Spreads'!G5</f>
        <v>2276211.712297562</v>
      </c>
    </row>
    <row r="183" spans="1:2" ht="15.75">
      <c r="A183" s="2" t="s">
        <v>39</v>
      </c>
      <c r="B183" s="109">
        <f aca="true" t="shared" si="24" ref="B183:B192">N130</f>
        <v>60000</v>
      </c>
    </row>
    <row r="184" spans="1:2" ht="15.75">
      <c r="A184" s="4" t="s">
        <v>41</v>
      </c>
      <c r="B184" s="109">
        <f t="shared" si="24"/>
        <v>120000</v>
      </c>
    </row>
    <row r="185" spans="1:2" ht="15.75">
      <c r="A185" s="4" t="s">
        <v>43</v>
      </c>
      <c r="B185" s="109">
        <f t="shared" si="24"/>
        <v>30000</v>
      </c>
    </row>
    <row r="186" spans="1:2" ht="15.75">
      <c r="A186" s="2" t="s">
        <v>45</v>
      </c>
      <c r="B186" s="109">
        <f t="shared" si="24"/>
        <v>7311.9047619047615</v>
      </c>
    </row>
    <row r="187" spans="1:2" ht="15.75">
      <c r="A187" s="4" t="s">
        <v>46</v>
      </c>
      <c r="B187" s="109">
        <f t="shared" si="24"/>
        <v>13834.82142857143</v>
      </c>
    </row>
    <row r="188" spans="1:2" ht="15.75">
      <c r="A188" s="2" t="s">
        <v>47</v>
      </c>
      <c r="B188" s="109">
        <f t="shared" si="24"/>
        <v>13660.714285714288</v>
      </c>
    </row>
    <row r="189" spans="1:2" ht="15.75">
      <c r="A189" s="2" t="s">
        <v>48</v>
      </c>
      <c r="B189" s="109">
        <f t="shared" si="24"/>
        <v>3000</v>
      </c>
    </row>
    <row r="190" spans="1:2" ht="15.75">
      <c r="A190" s="4" t="s">
        <v>49</v>
      </c>
      <c r="B190" s="109">
        <f t="shared" si="24"/>
        <v>28700</v>
      </c>
    </row>
    <row r="191" spans="1:2" ht="15.75">
      <c r="A191" s="4" t="s">
        <v>51</v>
      </c>
      <c r="B191" s="109">
        <f t="shared" si="24"/>
        <v>30750</v>
      </c>
    </row>
    <row r="192" spans="1:2" ht="15.75">
      <c r="A192" s="4" t="s">
        <v>448</v>
      </c>
      <c r="B192" s="109">
        <f t="shared" si="24"/>
        <v>-2392.680946399628</v>
      </c>
    </row>
    <row r="193" spans="1:2" ht="15.75">
      <c r="A193" s="11" t="s">
        <v>52</v>
      </c>
      <c r="B193" s="109">
        <f aca="true" t="shared" si="25" ref="B193:B198">N140</f>
        <v>30950.000000000004</v>
      </c>
    </row>
    <row r="194" spans="1:2" ht="15.75">
      <c r="A194" s="11" t="s">
        <v>53</v>
      </c>
      <c r="B194" s="109">
        <f t="shared" si="25"/>
        <v>20000</v>
      </c>
    </row>
    <row r="195" spans="1:2" ht="15.75">
      <c r="A195" s="11" t="s">
        <v>347</v>
      </c>
      <c r="B195" s="109">
        <f>Inputs!B69*N142</f>
        <v>0</v>
      </c>
    </row>
    <row r="196" spans="1:2" ht="15.75">
      <c r="A196" s="11" t="s">
        <v>340</v>
      </c>
      <c r="B196" s="109">
        <f t="shared" si="25"/>
        <v>0</v>
      </c>
    </row>
    <row r="197" spans="1:2" ht="15.75">
      <c r="A197" s="11" t="s">
        <v>54</v>
      </c>
      <c r="B197" s="109">
        <f t="shared" si="25"/>
        <v>0</v>
      </c>
    </row>
    <row r="198" spans="1:2" ht="15.75">
      <c r="A198" s="11" t="s">
        <v>54</v>
      </c>
      <c r="B198" s="109">
        <f t="shared" si="25"/>
        <v>0</v>
      </c>
    </row>
    <row r="199" spans="1:2" ht="15.75">
      <c r="A199" s="14" t="s">
        <v>135</v>
      </c>
      <c r="B199" s="109">
        <f>SUM(B176:B198)</f>
        <v>2642397.471827353</v>
      </c>
    </row>
    <row r="200" ht="15.75">
      <c r="A200" s="11"/>
    </row>
    <row r="201" ht="15.75">
      <c r="A201" s="14" t="s">
        <v>136</v>
      </c>
    </row>
    <row r="203" ht="15.75">
      <c r="A203" s="18" t="s">
        <v>35</v>
      </c>
    </row>
    <row r="204" spans="1:2" ht="15.75">
      <c r="A204" s="2" t="s">
        <v>329</v>
      </c>
      <c r="B204" s="109">
        <f>Inputs!B69*(B176*(1-'Prices and Spreads'!J13)*'Prices and Spreads'!J6+B177*(1-'Prices and Spreads'!K13)*'Prices and Spreads'!K6)/100*'Prices and Spreads'!G15</f>
        <v>0</v>
      </c>
    </row>
    <row r="205" spans="1:2" ht="15.75">
      <c r="A205" s="2" t="s">
        <v>137</v>
      </c>
      <c r="B205" s="109">
        <f>(1-Inputs!B69)*N129/'Prices and Spreads'!F5*'Prices and Spreads'!G5</f>
        <v>2276211.712297562</v>
      </c>
    </row>
    <row r="206" spans="1:2" ht="15.75">
      <c r="A206" s="2" t="s">
        <v>138</v>
      </c>
      <c r="B206" s="109">
        <f>N153</f>
        <v>802638</v>
      </c>
    </row>
    <row r="207" spans="1:2" ht="15.75">
      <c r="A207" s="2" t="s">
        <v>139</v>
      </c>
      <c r="B207" s="109">
        <f>N154</f>
        <v>0</v>
      </c>
    </row>
    <row r="208" spans="1:2" ht="15.75">
      <c r="A208" s="2" t="s">
        <v>140</v>
      </c>
      <c r="B208" s="109">
        <f>N155</f>
        <v>0</v>
      </c>
    </row>
    <row r="209" spans="1:2" ht="15.75">
      <c r="A209" s="18" t="s">
        <v>141</v>
      </c>
      <c r="B209" s="109">
        <f>SUM(B204:B208)</f>
        <v>3078849.712297562</v>
      </c>
    </row>
    <row r="211" spans="1:2" ht="15.75">
      <c r="A211" s="18" t="s">
        <v>142</v>
      </c>
      <c r="B211" s="109">
        <f>B209-B199</f>
        <v>436452.24047020916</v>
      </c>
    </row>
    <row r="213" ht="15.75">
      <c r="A213" s="18" t="s">
        <v>143</v>
      </c>
    </row>
    <row r="220" spans="1:4" ht="15.75">
      <c r="A220" s="121"/>
      <c r="B220" s="18"/>
      <c r="D220" s="18"/>
    </row>
    <row r="221" ht="15.75">
      <c r="A221" s="121"/>
    </row>
    <row r="222" ht="15.75">
      <c r="A222" s="121"/>
    </row>
    <row r="223" ht="15.75">
      <c r="A223" s="121"/>
    </row>
    <row r="224" ht="15.75">
      <c r="A224" s="121"/>
    </row>
    <row r="225" ht="15.75">
      <c r="A225" s="121"/>
    </row>
    <row r="226" ht="15.75">
      <c r="A226" s="121"/>
    </row>
    <row r="227" ht="15.75">
      <c r="A227" s="121"/>
    </row>
    <row r="228" ht="15.75">
      <c r="A228" s="121"/>
    </row>
    <row r="229" ht="15.75">
      <c r="A229" s="121"/>
    </row>
    <row r="230" ht="15.75">
      <c r="A230" s="121"/>
    </row>
    <row r="231" ht="15.75">
      <c r="A231" s="121"/>
    </row>
    <row r="232" ht="15.75">
      <c r="A232" s="121"/>
    </row>
    <row r="233" ht="15.75">
      <c r="A233" s="121"/>
    </row>
    <row r="234" ht="15.75">
      <c r="A234" s="121"/>
    </row>
    <row r="235" ht="15.75">
      <c r="A235" s="121"/>
    </row>
    <row r="236" ht="15.75">
      <c r="A236" s="121"/>
    </row>
    <row r="237" ht="15.75">
      <c r="A237" s="121"/>
    </row>
    <row r="238" ht="15.75">
      <c r="A238" s="121"/>
    </row>
    <row r="239" ht="15.75">
      <c r="A239" s="121"/>
    </row>
    <row r="240" ht="15.75">
      <c r="A240" s="121"/>
    </row>
    <row r="241" ht="15.75">
      <c r="A241" s="121"/>
    </row>
    <row r="242" ht="15.75">
      <c r="A242" s="121"/>
    </row>
    <row r="243" ht="15.75">
      <c r="A243" s="121"/>
    </row>
    <row r="244" ht="15.75">
      <c r="A244" s="121"/>
    </row>
    <row r="245" ht="15.75">
      <c r="A245" s="121"/>
    </row>
    <row r="246" ht="15.75">
      <c r="A246" s="121"/>
    </row>
    <row r="247" ht="15.75">
      <c r="A247" s="121"/>
    </row>
    <row r="248" ht="15.75">
      <c r="A248" s="121"/>
    </row>
    <row r="249" ht="15.75">
      <c r="A249" s="121"/>
    </row>
    <row r="250" ht="15.75">
      <c r="A250" s="121"/>
    </row>
    <row r="251" ht="15.75">
      <c r="A251" s="121"/>
    </row>
    <row r="252" ht="15.75">
      <c r="A252" s="121"/>
    </row>
    <row r="253" ht="15.75">
      <c r="A253" s="121"/>
    </row>
    <row r="254" ht="15.75">
      <c r="A254" s="121"/>
    </row>
    <row r="255" ht="15.75">
      <c r="A255" s="121"/>
    </row>
  </sheetData>
  <printOptions/>
  <pageMargins left="0.75" right="0.75" top="1" bottom="1" header="0.5" footer="0.5"/>
  <pageSetup fitToHeight="3" fitToWidth="1" horizontalDpi="300" verticalDpi="300" orientation="landscape" scale="64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41">
      <selection activeCell="B60" sqref="B60"/>
    </sheetView>
  </sheetViews>
  <sheetFormatPr defaultColWidth="8.796875" defaultRowHeight="15"/>
  <cols>
    <col min="1" max="1" width="24.19921875" style="2" customWidth="1"/>
    <col min="2" max="7" width="10.59765625" style="2" customWidth="1"/>
    <col min="8" max="11" width="9.8984375" style="2" customWidth="1"/>
    <col min="12" max="12" width="11" style="2" customWidth="1"/>
    <col min="13" max="13" width="11.09765625" style="2" customWidth="1"/>
    <col min="14" max="14" width="11.8984375" style="2" customWidth="1"/>
    <col min="15" max="15" width="10.09765625" style="2" customWidth="1"/>
    <col min="16" max="16" width="10.796875" style="2" customWidth="1"/>
    <col min="17" max="17" width="9.8984375" style="2" customWidth="1"/>
    <col min="18" max="16384" width="8.8984375" style="2" customWidth="1"/>
  </cols>
  <sheetData>
    <row r="1" ht="15.75">
      <c r="A1" s="34" t="s">
        <v>205</v>
      </c>
    </row>
    <row r="3" ht="16.5" thickBot="1">
      <c r="A3" s="18" t="s">
        <v>128</v>
      </c>
    </row>
    <row r="4" spans="1:16" s="41" customFormat="1" ht="16.5" thickBot="1">
      <c r="A4" s="41" t="s">
        <v>129</v>
      </c>
      <c r="B4" s="42">
        <f>Inputs!G16</f>
        <v>2007</v>
      </c>
      <c r="C4" s="41">
        <f>1+B4</f>
        <v>2008</v>
      </c>
      <c r="D4" s="41">
        <f aca="true" t="shared" si="0" ref="D4:P4">1+C4</f>
        <v>2009</v>
      </c>
      <c r="E4" s="41">
        <f t="shared" si="0"/>
        <v>2010</v>
      </c>
      <c r="F4" s="41">
        <f t="shared" si="0"/>
        <v>2011</v>
      </c>
      <c r="G4" s="41">
        <f t="shared" si="0"/>
        <v>2012</v>
      </c>
      <c r="H4" s="41">
        <f t="shared" si="0"/>
        <v>2013</v>
      </c>
      <c r="I4" s="41">
        <f t="shared" si="0"/>
        <v>2014</v>
      </c>
      <c r="J4" s="41">
        <f t="shared" si="0"/>
        <v>2015</v>
      </c>
      <c r="K4" s="41">
        <f t="shared" si="0"/>
        <v>2016</v>
      </c>
      <c r="L4" s="41">
        <f t="shared" si="0"/>
        <v>2017</v>
      </c>
      <c r="M4" s="41">
        <f t="shared" si="0"/>
        <v>2018</v>
      </c>
      <c r="N4" s="41">
        <f t="shared" si="0"/>
        <v>2019</v>
      </c>
      <c r="O4" s="41">
        <f t="shared" si="0"/>
        <v>2020</v>
      </c>
      <c r="P4" s="41">
        <f t="shared" si="0"/>
        <v>2021</v>
      </c>
    </row>
    <row r="5" ht="15.75">
      <c r="A5" s="18" t="s">
        <v>130</v>
      </c>
    </row>
    <row r="6" spans="1:16" ht="15.75">
      <c r="A6" s="4" t="str">
        <f>Inputs!A$55</f>
        <v>Land</v>
      </c>
      <c r="B6" s="21">
        <f>'Monthly Cash Flow'!N6</f>
        <v>0</v>
      </c>
      <c r="C6" s="21">
        <f>'Monthly Cash Flow'!N59</f>
        <v>0</v>
      </c>
      <c r="D6" s="21">
        <f>'Monthly Cash Flow'!N113</f>
        <v>0</v>
      </c>
      <c r="E6" s="21">
        <f>IF((E$4-$B$4)&lt;Inputs!$E55,'Annual Cash Flow'!D6,0)</f>
        <v>0</v>
      </c>
      <c r="F6" s="21">
        <f>IF((F$4-$B$4)&lt;Inputs!$E55,'Annual Cash Flow'!E6,0)</f>
        <v>0</v>
      </c>
      <c r="G6" s="21">
        <f>IF((G$4-$B$4)&lt;Inputs!$E55,'Annual Cash Flow'!F6,0)</f>
        <v>0</v>
      </c>
      <c r="H6" s="21">
        <f>IF((H$4-$B$4)&lt;Inputs!$E55,'Annual Cash Flow'!G6,0)</f>
        <v>0</v>
      </c>
      <c r="I6" s="21">
        <f>IF((I$4-$B$4)&lt;Inputs!$E55,'Annual Cash Flow'!H6,0)</f>
        <v>0</v>
      </c>
      <c r="J6" s="21">
        <f>IF((J$4-$B$4)&lt;Inputs!$E55,'Annual Cash Flow'!I6,0)</f>
        <v>0</v>
      </c>
      <c r="K6" s="21">
        <f>IF((K$4-$B$4)&lt;Inputs!$E55,'Annual Cash Flow'!J6,0)</f>
        <v>0</v>
      </c>
      <c r="L6" s="21">
        <f>IF((L$4-$B$4)&lt;Inputs!$E55,'Annual Cash Flow'!K6,0)</f>
        <v>0</v>
      </c>
      <c r="M6" s="21">
        <f>IF((M$4-$B$4)&lt;Inputs!$E55,'Annual Cash Flow'!L6,0)</f>
        <v>0</v>
      </c>
      <c r="N6" s="21">
        <f>IF((N$4-$B$4)&lt;Inputs!$E55,'Annual Cash Flow'!M6,0)</f>
        <v>0</v>
      </c>
      <c r="O6" s="21">
        <f>IF((O$4-$B$4)&lt;Inputs!$E55,'Annual Cash Flow'!N6,0)</f>
        <v>0</v>
      </c>
      <c r="P6" s="21">
        <f>IF((P$4-$B$4)&lt;Inputs!$E55,'Annual Cash Flow'!O6,0)</f>
        <v>0</v>
      </c>
    </row>
    <row r="7" spans="1:16" ht="15.75">
      <c r="A7" s="4" t="str">
        <f>Inputs!A$56</f>
        <v>Construction</v>
      </c>
      <c r="B7" s="21">
        <f>'Monthly Cash Flow'!N7</f>
        <v>0</v>
      </c>
      <c r="C7" s="21">
        <f>'Monthly Cash Flow'!N60</f>
        <v>0</v>
      </c>
      <c r="D7" s="21">
        <f>'Monthly Cash Flow'!N114</f>
        <v>0</v>
      </c>
      <c r="E7" s="21">
        <f>IF((E$4-$B$4)&lt;Inputs!$E56,'Annual Cash Flow'!D7,0)</f>
        <v>0</v>
      </c>
      <c r="F7" s="21">
        <f>IF((F$4-$B$4)&lt;Inputs!$E56,'Annual Cash Flow'!E7,0)</f>
        <v>0</v>
      </c>
      <c r="G7" s="21">
        <f>IF((G$4-$B$4)&lt;Inputs!$E56,'Annual Cash Flow'!F7,0)</f>
        <v>0</v>
      </c>
      <c r="H7" s="21">
        <f>IF((H$4-$B$4)&lt;Inputs!$E56,'Annual Cash Flow'!G7,0)</f>
        <v>0</v>
      </c>
      <c r="I7" s="21">
        <f>IF((I$4-$B$4)&lt;Inputs!$E56,'Annual Cash Flow'!H7,0)</f>
        <v>0</v>
      </c>
      <c r="J7" s="21">
        <f>IF((J$4-$B$4)&lt;Inputs!$E56,'Annual Cash Flow'!I7,0)</f>
        <v>0</v>
      </c>
      <c r="K7" s="21">
        <f>IF((K$4-$B$4)&lt;Inputs!$E56,'Annual Cash Flow'!J7,0)</f>
        <v>0</v>
      </c>
      <c r="L7" s="21">
        <f>IF((L$4-$B$4)&lt;Inputs!$E56,'Annual Cash Flow'!K7,0)</f>
        <v>0</v>
      </c>
      <c r="M7" s="21">
        <f>IF((M$4-$B$4)&lt;Inputs!$E56,'Annual Cash Flow'!L7,0)</f>
        <v>0</v>
      </c>
      <c r="N7" s="21">
        <f>IF((N$4-$B$4)&lt;Inputs!$E56,'Annual Cash Flow'!M7,0)</f>
        <v>0</v>
      </c>
      <c r="O7" s="21">
        <f>IF((O$4-$B$4)&lt;Inputs!$E56,'Annual Cash Flow'!N7,0)</f>
        <v>0</v>
      </c>
      <c r="P7" s="21">
        <f>IF((P$4-$B$4)&lt;Inputs!$E56,'Annual Cash Flow'!O7,0)</f>
        <v>0</v>
      </c>
    </row>
    <row r="8" spans="1:16" ht="15.75">
      <c r="A8" s="4" t="str">
        <f>Inputs!A$57</f>
        <v>Equipment 1</v>
      </c>
      <c r="B8" s="21">
        <f>'Monthly Cash Flow'!N8</f>
        <v>0</v>
      </c>
      <c r="C8" s="21">
        <f>'Monthly Cash Flow'!N61</f>
        <v>0</v>
      </c>
      <c r="D8" s="21">
        <f>'Monthly Cash Flow'!N115</f>
        <v>0</v>
      </c>
      <c r="E8" s="21">
        <f>IF((E$4-$B$4)&lt;Inputs!$E57,'Annual Cash Flow'!D8,0)</f>
        <v>0</v>
      </c>
      <c r="F8" s="21">
        <f>IF((F$4-$B$4)&lt;Inputs!$E57,'Annual Cash Flow'!E8,0)</f>
        <v>0</v>
      </c>
      <c r="G8" s="21">
        <f>IF((G$4-$B$4)&lt;Inputs!$E57,'Annual Cash Flow'!F8,0)</f>
        <v>0</v>
      </c>
      <c r="H8" s="21">
        <f>IF((H$4-$B$4)&lt;Inputs!$E57,'Annual Cash Flow'!G8,0)</f>
        <v>0</v>
      </c>
      <c r="I8" s="21">
        <f>IF((I$4-$B$4)&lt;Inputs!$E57,'Annual Cash Flow'!H8,0)</f>
        <v>0</v>
      </c>
      <c r="J8" s="21">
        <f>IF((J$4-$B$4)&lt;Inputs!$E57,'Annual Cash Flow'!I8,0)</f>
        <v>0</v>
      </c>
      <c r="K8" s="21">
        <f>IF((K$4-$B$4)&lt;Inputs!$E57,'Annual Cash Flow'!J8,0)</f>
        <v>0</v>
      </c>
      <c r="L8" s="21">
        <f>IF((L$4-$B$4)&lt;Inputs!$E57,'Annual Cash Flow'!K8,0)</f>
        <v>0</v>
      </c>
      <c r="M8" s="21">
        <f>IF((M$4-$B$4)&lt;Inputs!$E57,'Annual Cash Flow'!L8,0)</f>
        <v>0</v>
      </c>
      <c r="N8" s="21">
        <f>IF((N$4-$B$4)&lt;Inputs!$E57,'Annual Cash Flow'!M8,0)</f>
        <v>0</v>
      </c>
      <c r="O8" s="21">
        <f>IF((O$4-$B$4)&lt;Inputs!$E57,'Annual Cash Flow'!N8,0)</f>
        <v>0</v>
      </c>
      <c r="P8" s="21">
        <f>IF((P$4-$B$4)&lt;Inputs!$E57,'Annual Cash Flow'!O8,0)</f>
        <v>0</v>
      </c>
    </row>
    <row r="9" spans="1:16" ht="15.75">
      <c r="A9" s="4" t="str">
        <f>Inputs!A$58</f>
        <v>Cattle Loans</v>
      </c>
      <c r="B9" s="21">
        <f>'Monthly Cash Flow'!N9</f>
        <v>0</v>
      </c>
      <c r="C9" s="21">
        <f>'Monthly Cash Flow'!N62</f>
        <v>0</v>
      </c>
      <c r="D9" s="21">
        <f>'Monthly Cash Flow'!N116</f>
        <v>0</v>
      </c>
      <c r="E9" s="21">
        <f>IF((E$4-$B$4)&lt;Inputs!$E58,'Annual Cash Flow'!D9,0)</f>
        <v>0</v>
      </c>
      <c r="F9" s="21">
        <f>IF((F$4-$B$4)&lt;Inputs!$E58,'Annual Cash Flow'!E9,0)</f>
        <v>0</v>
      </c>
      <c r="G9" s="21">
        <f>IF((G$4-$B$4)&lt;Inputs!$E58,'Annual Cash Flow'!F9,0)</f>
        <v>0</v>
      </c>
      <c r="H9" s="21">
        <f>IF((H$4-$B$4)&lt;Inputs!$E58,'Annual Cash Flow'!G9,0)</f>
        <v>0</v>
      </c>
      <c r="I9" s="21">
        <f>IF((I$4-$B$4)&lt;Inputs!$E58,'Annual Cash Flow'!H9,0)</f>
        <v>0</v>
      </c>
      <c r="J9" s="21">
        <f>IF((J$4-$B$4)&lt;Inputs!$E58,'Annual Cash Flow'!I9,0)</f>
        <v>0</v>
      </c>
      <c r="K9" s="21">
        <f>IF((K$4-$B$4)&lt;Inputs!$E58,'Annual Cash Flow'!J9,0)</f>
        <v>0</v>
      </c>
      <c r="L9" s="21">
        <f>IF((L$4-$B$4)&lt;Inputs!$E58,'Annual Cash Flow'!K9,0)</f>
        <v>0</v>
      </c>
      <c r="M9" s="21">
        <f>IF((M$4-$B$4)&lt;Inputs!$E58,'Annual Cash Flow'!L9,0)</f>
        <v>0</v>
      </c>
      <c r="N9" s="21">
        <f>IF((N$4-$B$4)&lt;Inputs!$E58,'Annual Cash Flow'!M9,0)</f>
        <v>0</v>
      </c>
      <c r="O9" s="21">
        <f>IF((O$4-$B$4)&lt;Inputs!$E58,'Annual Cash Flow'!N9,0)</f>
        <v>0</v>
      </c>
      <c r="P9" s="21">
        <f>IF((P$4-$B$4)&lt;Inputs!$E58,'Annual Cash Flow'!O9,0)</f>
        <v>0</v>
      </c>
    </row>
    <row r="10" spans="1:16" ht="15.75">
      <c r="A10" s="4" t="str">
        <f>Inputs!A$59</f>
        <v>Other loans (Overwrite)</v>
      </c>
      <c r="B10" s="21">
        <f>'Monthly Cash Flow'!N10</f>
        <v>0</v>
      </c>
      <c r="C10" s="21">
        <f>'Monthly Cash Flow'!N63</f>
        <v>0</v>
      </c>
      <c r="D10" s="21">
        <f>'Monthly Cash Flow'!N117</f>
        <v>0</v>
      </c>
      <c r="E10" s="21">
        <f>IF((E$4-$B$4)&lt;Inputs!$E59,'Annual Cash Flow'!D10,0)</f>
        <v>0</v>
      </c>
      <c r="F10" s="21">
        <f>IF((F$4-$B$4)&lt;Inputs!$E59,'Annual Cash Flow'!E10,0)</f>
        <v>0</v>
      </c>
      <c r="G10" s="21">
        <f>IF((G$4-$B$4)&lt;Inputs!$E59,'Annual Cash Flow'!F10,0)</f>
        <v>0</v>
      </c>
      <c r="H10" s="21">
        <f>IF((H$4-$B$4)&lt;Inputs!$E59,'Annual Cash Flow'!G10,0)</f>
        <v>0</v>
      </c>
      <c r="I10" s="21">
        <f>IF((I$4-$B$4)&lt;Inputs!$E59,'Annual Cash Flow'!H10,0)</f>
        <v>0</v>
      </c>
      <c r="J10" s="21">
        <f>IF((J$4-$B$4)&lt;Inputs!$E59,'Annual Cash Flow'!I10,0)</f>
        <v>0</v>
      </c>
      <c r="K10" s="21">
        <f>IF((K$4-$B$4)&lt;Inputs!$E59,'Annual Cash Flow'!J10,0)</f>
        <v>0</v>
      </c>
      <c r="L10" s="21">
        <f>IF((L$4-$B$4)&lt;Inputs!$E59,'Annual Cash Flow'!K10,0)</f>
        <v>0</v>
      </c>
      <c r="M10" s="21">
        <f>IF((M$4-$B$4)&lt;Inputs!$E59,'Annual Cash Flow'!L10,0)</f>
        <v>0</v>
      </c>
      <c r="N10" s="21">
        <f>IF((N$4-$B$4)&lt;Inputs!$E59,'Annual Cash Flow'!M10,0)</f>
        <v>0</v>
      </c>
      <c r="O10" s="21">
        <f>IF((O$4-$B$4)&lt;Inputs!$E59,'Annual Cash Flow'!N10,0)</f>
        <v>0</v>
      </c>
      <c r="P10" s="21">
        <f>IF((P$4-$B$4)&lt;Inputs!$E59,'Annual Cash Flow'!O10,0)</f>
        <v>0</v>
      </c>
    </row>
    <row r="11" spans="1:16" ht="15.75">
      <c r="A11" s="4" t="str">
        <f>Inputs!A$60</f>
        <v>Other loans (Overwrite)</v>
      </c>
      <c r="B11" s="21">
        <f>'Monthly Cash Flow'!N11</f>
        <v>0</v>
      </c>
      <c r="C11" s="21">
        <f>'Monthly Cash Flow'!N64</f>
        <v>0</v>
      </c>
      <c r="D11" s="21">
        <f>'Monthly Cash Flow'!N118</f>
        <v>0</v>
      </c>
      <c r="E11" s="21">
        <f>IF((E$4-$B$4)&lt;Inputs!$E60,'Annual Cash Flow'!D11,0)</f>
        <v>0</v>
      </c>
      <c r="F11" s="21">
        <f>IF((F$4-$B$4)&lt;Inputs!$E60,'Annual Cash Flow'!E11,0)</f>
        <v>0</v>
      </c>
      <c r="G11" s="21">
        <f>IF((G$4-$B$4)&lt;Inputs!$E60,'Annual Cash Flow'!F11,0)</f>
        <v>0</v>
      </c>
      <c r="H11" s="21">
        <f>IF((H$4-$B$4)&lt;Inputs!$E60,'Annual Cash Flow'!G11,0)</f>
        <v>0</v>
      </c>
      <c r="I11" s="21">
        <f>IF((I$4-$B$4)&lt;Inputs!$E60,'Annual Cash Flow'!H11,0)</f>
        <v>0</v>
      </c>
      <c r="J11" s="21">
        <f>IF((J$4-$B$4)&lt;Inputs!$E60,'Annual Cash Flow'!I11,0)</f>
        <v>0</v>
      </c>
      <c r="K11" s="21">
        <f>IF((K$4-$B$4)&lt;Inputs!$E60,'Annual Cash Flow'!J11,0)</f>
        <v>0</v>
      </c>
      <c r="L11" s="21">
        <f>IF((L$4-$B$4)&lt;Inputs!$E60,'Annual Cash Flow'!K11,0)</f>
        <v>0</v>
      </c>
      <c r="M11" s="21">
        <f>IF((M$4-$B$4)&lt;Inputs!$E60,'Annual Cash Flow'!L11,0)</f>
        <v>0</v>
      </c>
      <c r="N11" s="21">
        <f>IF((N$4-$B$4)&lt;Inputs!$E60,'Annual Cash Flow'!M11,0)</f>
        <v>0</v>
      </c>
      <c r="O11" s="21">
        <f>IF((O$4-$B$4)&lt;Inputs!$E60,'Annual Cash Flow'!N11,0)</f>
        <v>0</v>
      </c>
      <c r="P11" s="21">
        <f>IF((P$4-$B$4)&lt;Inputs!$E60,'Annual Cash Flow'!O11,0)</f>
        <v>0</v>
      </c>
    </row>
    <row r="12" spans="1:16" ht="15.75">
      <c r="A12" s="4" t="str">
        <f>Inputs!A$61</f>
        <v>Other loans (Overwrite)</v>
      </c>
      <c r="B12" s="21">
        <f>'Monthly Cash Flow'!N12</f>
        <v>0</v>
      </c>
      <c r="C12" s="21">
        <f>'Monthly Cash Flow'!N65</f>
        <v>0</v>
      </c>
      <c r="D12" s="21">
        <f>'Monthly Cash Flow'!N119</f>
        <v>0</v>
      </c>
      <c r="E12" s="21">
        <f>IF((E$4-$B$4)&lt;Inputs!$E61,'Annual Cash Flow'!D12,0)</f>
        <v>0</v>
      </c>
      <c r="F12" s="21">
        <f>IF((F$4-$B$4)&lt;Inputs!$E61,'Annual Cash Flow'!E12,0)</f>
        <v>0</v>
      </c>
      <c r="G12" s="21">
        <f>IF((G$4-$B$4)&lt;Inputs!$E61,'Annual Cash Flow'!F12,0)</f>
        <v>0</v>
      </c>
      <c r="H12" s="21">
        <f>IF((H$4-$B$4)&lt;Inputs!$E61,'Annual Cash Flow'!G12,0)</f>
        <v>0</v>
      </c>
      <c r="I12" s="21">
        <f>IF((I$4-$B$4)&lt;Inputs!$E61,'Annual Cash Flow'!H12,0)</f>
        <v>0</v>
      </c>
      <c r="J12" s="21">
        <f>IF((J$4-$B$4)&lt;Inputs!$E61,'Annual Cash Flow'!I12,0)</f>
        <v>0</v>
      </c>
      <c r="K12" s="21">
        <f>IF((K$4-$B$4)&lt;Inputs!$E61,'Annual Cash Flow'!J12,0)</f>
        <v>0</v>
      </c>
      <c r="L12" s="21">
        <f>IF((L$4-$B$4)&lt;Inputs!$E61,'Annual Cash Flow'!K12,0)</f>
        <v>0</v>
      </c>
      <c r="M12" s="21">
        <f>IF((M$4-$B$4)&lt;Inputs!$E61,'Annual Cash Flow'!L12,0)</f>
        <v>0</v>
      </c>
      <c r="N12" s="21">
        <f>IF((N$4-$B$4)&lt;Inputs!$E61,'Annual Cash Flow'!M12,0)</f>
        <v>0</v>
      </c>
      <c r="O12" s="21">
        <f>IF((O$4-$B$4)&lt;Inputs!$E61,'Annual Cash Flow'!N12,0)</f>
        <v>0</v>
      </c>
      <c r="P12" s="21">
        <f>IF((P$4-$B$4)&lt;Inputs!$E61,'Annual Cash Flow'!O12,0)</f>
        <v>0</v>
      </c>
    </row>
    <row r="13" spans="1:16" ht="15.75">
      <c r="A13" s="4" t="s">
        <v>132</v>
      </c>
      <c r="B13" s="21">
        <f>'Monthly Cash Flow'!N13</f>
        <v>0</v>
      </c>
      <c r="C13" s="21">
        <f>'Monthly Cash Flow'!N66</f>
        <v>0</v>
      </c>
      <c r="D13" s="21">
        <f>'Monthly Cash Flow'!N120</f>
        <v>0</v>
      </c>
      <c r="E13" s="21">
        <f>SUM(E6:E12)</f>
        <v>0</v>
      </c>
      <c r="F13" s="21">
        <f aca="true" t="shared" si="1" ref="F13:P13">SUM(F6:F12)</f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4" ht="15.75">
      <c r="A14" s="4"/>
      <c r="B14" s="21"/>
      <c r="C14" s="21"/>
      <c r="D14" s="21"/>
    </row>
    <row r="15" spans="1:4" ht="15.75">
      <c r="A15" s="1" t="s">
        <v>133</v>
      </c>
      <c r="B15" s="21"/>
      <c r="C15" s="21"/>
      <c r="D15" s="21"/>
    </row>
    <row r="16" spans="1:16" ht="15.75">
      <c r="A16" s="4" t="s">
        <v>146</v>
      </c>
      <c r="B16" s="39">
        <f>Inventories!N17</f>
        <v>0.244047619047619</v>
      </c>
      <c r="C16" s="39">
        <f>Inventories!N46</f>
        <v>0.9107142857142857</v>
      </c>
      <c r="D16" s="39">
        <f>Inventories!N74</f>
        <v>0.9107142857142857</v>
      </c>
      <c r="E16" s="119">
        <f>D16</f>
        <v>0.9107142857142857</v>
      </c>
      <c r="F16" s="110">
        <f>E16</f>
        <v>0.9107142857142857</v>
      </c>
      <c r="G16" s="110">
        <f>F16</f>
        <v>0.9107142857142857</v>
      </c>
      <c r="H16" s="110">
        <f aca="true" t="shared" si="2" ref="H16:P16">G16</f>
        <v>0.9107142857142857</v>
      </c>
      <c r="I16" s="110">
        <f t="shared" si="2"/>
        <v>0.9107142857142857</v>
      </c>
      <c r="J16" s="110">
        <f t="shared" si="2"/>
        <v>0.9107142857142857</v>
      </c>
      <c r="K16" s="110">
        <f t="shared" si="2"/>
        <v>0.9107142857142857</v>
      </c>
      <c r="L16" s="110">
        <f t="shared" si="2"/>
        <v>0.9107142857142857</v>
      </c>
      <c r="M16" s="110">
        <f t="shared" si="2"/>
        <v>0.9107142857142857</v>
      </c>
      <c r="N16" s="110">
        <f t="shared" si="2"/>
        <v>0.9107142857142857</v>
      </c>
      <c r="O16" s="110">
        <f t="shared" si="2"/>
        <v>0.9107142857142857</v>
      </c>
      <c r="P16" s="110">
        <f t="shared" si="2"/>
        <v>0.9107142857142857</v>
      </c>
    </row>
    <row r="17" spans="1:16" ht="15.75">
      <c r="A17" s="120" t="s">
        <v>333</v>
      </c>
      <c r="B17" s="21">
        <f>'Monthly Cash Flow'!N16</f>
        <v>2200</v>
      </c>
      <c r="C17" s="21">
        <f>'Monthly Cash Flow'!N69</f>
        <v>5000</v>
      </c>
      <c r="D17" s="21">
        <f>'Monthly Cash Flow'!N123</f>
        <v>5000</v>
      </c>
      <c r="E17" s="117">
        <f>'Monthly Cash Flow'!B176</f>
        <v>5000</v>
      </c>
      <c r="F17" s="118">
        <f>E17</f>
        <v>5000</v>
      </c>
      <c r="G17" s="118">
        <f aca="true" t="shared" si="3" ref="G17:P17">F17</f>
        <v>5000</v>
      </c>
      <c r="H17" s="118">
        <f t="shared" si="3"/>
        <v>5000</v>
      </c>
      <c r="I17" s="118">
        <f t="shared" si="3"/>
        <v>5000</v>
      </c>
      <c r="J17" s="118">
        <f t="shared" si="3"/>
        <v>5000</v>
      </c>
      <c r="K17" s="118">
        <f t="shared" si="3"/>
        <v>5000</v>
      </c>
      <c r="L17" s="118">
        <f t="shared" si="3"/>
        <v>5000</v>
      </c>
      <c r="M17" s="118">
        <f t="shared" si="3"/>
        <v>5000</v>
      </c>
      <c r="N17" s="118">
        <f t="shared" si="3"/>
        <v>5000</v>
      </c>
      <c r="O17" s="118">
        <f t="shared" si="3"/>
        <v>5000</v>
      </c>
      <c r="P17" s="118">
        <f t="shared" si="3"/>
        <v>5000</v>
      </c>
    </row>
    <row r="18" spans="1:16" ht="15.75">
      <c r="A18" s="120" t="s">
        <v>334</v>
      </c>
      <c r="B18" s="21">
        <f>'Monthly Cash Flow'!N17</f>
        <v>2800</v>
      </c>
      <c r="C18" s="21">
        <f>'Monthly Cash Flow'!N70</f>
        <v>5200</v>
      </c>
      <c r="D18" s="21">
        <f>'Monthly Cash Flow'!N124</f>
        <v>5200</v>
      </c>
      <c r="E18" s="117">
        <f>'Monthly Cash Flow'!B177</f>
        <v>5200</v>
      </c>
      <c r="F18" s="118">
        <f aca="true" t="shared" si="4" ref="F18:P22">E18</f>
        <v>5200</v>
      </c>
      <c r="G18" s="118">
        <f t="shared" si="4"/>
        <v>5200</v>
      </c>
      <c r="H18" s="118">
        <f t="shared" si="4"/>
        <v>5200</v>
      </c>
      <c r="I18" s="118">
        <f t="shared" si="4"/>
        <v>5200</v>
      </c>
      <c r="J18" s="118">
        <f t="shared" si="4"/>
        <v>5200</v>
      </c>
      <c r="K18" s="118">
        <f t="shared" si="4"/>
        <v>5200</v>
      </c>
      <c r="L18" s="118">
        <f t="shared" si="4"/>
        <v>5200</v>
      </c>
      <c r="M18" s="118">
        <f t="shared" si="4"/>
        <v>5200</v>
      </c>
      <c r="N18" s="118">
        <f t="shared" si="4"/>
        <v>5200</v>
      </c>
      <c r="O18" s="118">
        <f t="shared" si="4"/>
        <v>5200</v>
      </c>
      <c r="P18" s="118">
        <f t="shared" si="4"/>
        <v>5200</v>
      </c>
    </row>
    <row r="19" spans="1:16" ht="15.75">
      <c r="A19" s="120" t="s">
        <v>335</v>
      </c>
      <c r="B19" s="21">
        <f>'Monthly Cash Flow'!N18</f>
        <v>0</v>
      </c>
      <c r="C19" s="21">
        <f>'Monthly Cash Flow'!N71</f>
        <v>0</v>
      </c>
      <c r="D19" s="21">
        <f>'Monthly Cash Flow'!N125</f>
        <v>0</v>
      </c>
      <c r="E19" s="117">
        <f>'Monthly Cash Flow'!B178</f>
        <v>89</v>
      </c>
      <c r="F19" s="118">
        <f t="shared" si="4"/>
        <v>89</v>
      </c>
      <c r="G19" s="118">
        <f t="shared" si="4"/>
        <v>89</v>
      </c>
      <c r="H19" s="118">
        <f t="shared" si="4"/>
        <v>89</v>
      </c>
      <c r="I19" s="118">
        <f t="shared" si="4"/>
        <v>89</v>
      </c>
      <c r="J19" s="118">
        <f t="shared" si="4"/>
        <v>89</v>
      </c>
      <c r="K19" s="118">
        <f t="shared" si="4"/>
        <v>89</v>
      </c>
      <c r="L19" s="118">
        <f t="shared" si="4"/>
        <v>89</v>
      </c>
      <c r="M19" s="118">
        <f t="shared" si="4"/>
        <v>89</v>
      </c>
      <c r="N19" s="118">
        <f t="shared" si="4"/>
        <v>89</v>
      </c>
      <c r="O19" s="118">
        <f t="shared" si="4"/>
        <v>89</v>
      </c>
      <c r="P19" s="118">
        <f t="shared" si="4"/>
        <v>89</v>
      </c>
    </row>
    <row r="20" spans="1:16" ht="15.75">
      <c r="A20" s="120" t="s">
        <v>336</v>
      </c>
      <c r="B20" s="21">
        <f>'Monthly Cash Flow'!N19</f>
        <v>0</v>
      </c>
      <c r="C20" s="21">
        <f>'Monthly Cash Flow'!N72</f>
        <v>0</v>
      </c>
      <c r="D20" s="21">
        <f>'Monthly Cash Flow'!N126</f>
        <v>0</v>
      </c>
      <c r="E20" s="117">
        <f>'Monthly Cash Flow'!B179</f>
        <v>82</v>
      </c>
      <c r="F20" s="118">
        <f t="shared" si="4"/>
        <v>82</v>
      </c>
      <c r="G20" s="118">
        <f t="shared" si="4"/>
        <v>82</v>
      </c>
      <c r="H20" s="118">
        <f t="shared" si="4"/>
        <v>82</v>
      </c>
      <c r="I20" s="118">
        <f t="shared" si="4"/>
        <v>82</v>
      </c>
      <c r="J20" s="118">
        <f t="shared" si="4"/>
        <v>82</v>
      </c>
      <c r="K20" s="118">
        <f t="shared" si="4"/>
        <v>82</v>
      </c>
      <c r="L20" s="118">
        <f t="shared" si="4"/>
        <v>82</v>
      </c>
      <c r="M20" s="118">
        <f t="shared" si="4"/>
        <v>82</v>
      </c>
      <c r="N20" s="118">
        <f t="shared" si="4"/>
        <v>82</v>
      </c>
      <c r="O20" s="118">
        <f t="shared" si="4"/>
        <v>82</v>
      </c>
      <c r="P20" s="118">
        <f t="shared" si="4"/>
        <v>82</v>
      </c>
    </row>
    <row r="21" spans="1:16" ht="15.75">
      <c r="A21" s="120" t="s">
        <v>328</v>
      </c>
      <c r="B21" s="21">
        <f>'Monthly Cash Flow'!N20</f>
        <v>0</v>
      </c>
      <c r="C21" s="21">
        <f>'Monthly Cash Flow'!N73</f>
        <v>0</v>
      </c>
      <c r="D21" s="21">
        <f>'Monthly Cash Flow'!N127</f>
        <v>0</v>
      </c>
      <c r="E21" s="117">
        <f>'Monthly Cash Flow'!B180</f>
        <v>0</v>
      </c>
      <c r="F21" s="118">
        <f t="shared" si="4"/>
        <v>0</v>
      </c>
      <c r="G21" s="118">
        <f t="shared" si="4"/>
        <v>0</v>
      </c>
      <c r="H21" s="118">
        <f t="shared" si="4"/>
        <v>0</v>
      </c>
      <c r="I21" s="118">
        <f t="shared" si="4"/>
        <v>0</v>
      </c>
      <c r="J21" s="118">
        <f t="shared" si="4"/>
        <v>0</v>
      </c>
      <c r="K21" s="118">
        <f t="shared" si="4"/>
        <v>0</v>
      </c>
      <c r="L21" s="118">
        <f t="shared" si="4"/>
        <v>0</v>
      </c>
      <c r="M21" s="118">
        <f t="shared" si="4"/>
        <v>0</v>
      </c>
      <c r="N21" s="118">
        <f t="shared" si="4"/>
        <v>0</v>
      </c>
      <c r="O21" s="118">
        <f t="shared" si="4"/>
        <v>0</v>
      </c>
      <c r="P21" s="118">
        <f t="shared" si="4"/>
        <v>0</v>
      </c>
    </row>
    <row r="22" spans="1:16" ht="15.75">
      <c r="A22" s="120" t="s">
        <v>337</v>
      </c>
      <c r="B22" s="21">
        <f>'Monthly Cash Flow'!N21</f>
        <v>0</v>
      </c>
      <c r="C22" s="21">
        <f>'Monthly Cash Flow'!N74</f>
        <v>0</v>
      </c>
      <c r="D22" s="21">
        <f>'Monthly Cash Flow'!N128</f>
        <v>0</v>
      </c>
      <c r="E22" s="117">
        <f>'Monthly Cash Flow'!B181</f>
        <v>0</v>
      </c>
      <c r="F22" s="118">
        <f t="shared" si="4"/>
        <v>0</v>
      </c>
      <c r="G22" s="118">
        <f t="shared" si="4"/>
        <v>0</v>
      </c>
      <c r="H22" s="118">
        <f t="shared" si="4"/>
        <v>0</v>
      </c>
      <c r="I22" s="118">
        <f t="shared" si="4"/>
        <v>0</v>
      </c>
      <c r="J22" s="118">
        <f t="shared" si="4"/>
        <v>0</v>
      </c>
      <c r="K22" s="118">
        <f t="shared" si="4"/>
        <v>0</v>
      </c>
      <c r="L22" s="118">
        <f t="shared" si="4"/>
        <v>0</v>
      </c>
      <c r="M22" s="118">
        <f t="shared" si="4"/>
        <v>0</v>
      </c>
      <c r="N22" s="118">
        <f t="shared" si="4"/>
        <v>0</v>
      </c>
      <c r="O22" s="118">
        <f t="shared" si="4"/>
        <v>0</v>
      </c>
      <c r="P22" s="118">
        <f t="shared" si="4"/>
        <v>0</v>
      </c>
    </row>
    <row r="23" spans="1:16" ht="15.75">
      <c r="A23" s="4" t="s">
        <v>134</v>
      </c>
      <c r="B23" s="21">
        <f>'Monthly Cash Flow'!N22</f>
        <v>855309.214824073</v>
      </c>
      <c r="C23" s="21">
        <f>'Monthly Cash Flow'!N75</f>
        <v>2416286.2792081814</v>
      </c>
      <c r="D23" s="21">
        <f>'Monthly Cash Flow'!N129</f>
        <v>2416286.2792081814</v>
      </c>
      <c r="E23" s="21">
        <f>'Monthly Cash Flow'!B182</f>
        <v>2276211.712297562</v>
      </c>
      <c r="F23" s="21">
        <f>E23</f>
        <v>2276211.712297562</v>
      </c>
      <c r="G23" s="21">
        <f aca="true" t="shared" si="5" ref="G23:P23">F23</f>
        <v>2276211.712297562</v>
      </c>
      <c r="H23" s="21">
        <f t="shared" si="5"/>
        <v>2276211.712297562</v>
      </c>
      <c r="I23" s="21">
        <f t="shared" si="5"/>
        <v>2276211.712297562</v>
      </c>
      <c r="J23" s="21">
        <f t="shared" si="5"/>
        <v>2276211.712297562</v>
      </c>
      <c r="K23" s="21">
        <f t="shared" si="5"/>
        <v>2276211.712297562</v>
      </c>
      <c r="L23" s="21">
        <f t="shared" si="5"/>
        <v>2276211.712297562</v>
      </c>
      <c r="M23" s="21">
        <f t="shared" si="5"/>
        <v>2276211.712297562</v>
      </c>
      <c r="N23" s="21">
        <f t="shared" si="5"/>
        <v>2276211.712297562</v>
      </c>
      <c r="O23" s="21">
        <f t="shared" si="5"/>
        <v>2276211.712297562</v>
      </c>
      <c r="P23" s="21">
        <f t="shared" si="5"/>
        <v>2276211.712297562</v>
      </c>
    </row>
    <row r="24" spans="1:16" ht="15.75">
      <c r="A24" s="4" t="s">
        <v>147</v>
      </c>
      <c r="B24" s="39">
        <v>0</v>
      </c>
      <c r="C24" s="39">
        <v>0</v>
      </c>
      <c r="D24" s="39">
        <v>0.02</v>
      </c>
      <c r="E24" s="39">
        <v>0.02</v>
      </c>
      <c r="F24" s="39">
        <v>0.02</v>
      </c>
      <c r="G24" s="39">
        <v>0.02</v>
      </c>
      <c r="H24" s="39">
        <v>0.02</v>
      </c>
      <c r="I24" s="39">
        <v>0.02</v>
      </c>
      <c r="J24" s="39">
        <v>0.02</v>
      </c>
      <c r="K24" s="39">
        <v>0.02</v>
      </c>
      <c r="L24" s="39">
        <v>0.02</v>
      </c>
      <c r="M24" s="39">
        <v>0.02</v>
      </c>
      <c r="N24" s="39">
        <v>0.02</v>
      </c>
      <c r="O24" s="39">
        <v>0.02</v>
      </c>
      <c r="P24" s="39">
        <v>0.02</v>
      </c>
    </row>
    <row r="25" spans="1:16" ht="15.75">
      <c r="A25" s="2" t="s">
        <v>39</v>
      </c>
      <c r="B25" s="21">
        <f>'Monthly Cash Flow'!N23</f>
        <v>40000</v>
      </c>
      <c r="C25" s="21">
        <f>'Monthly Cash Flow'!N76</f>
        <v>60000</v>
      </c>
      <c r="D25" s="21">
        <f>'Monthly Cash Flow'!N130*(1+D$24)</f>
        <v>61200</v>
      </c>
      <c r="E25" s="21">
        <f>'Monthly Cash Flow'!B183*(1+E$24)</f>
        <v>61200</v>
      </c>
      <c r="F25" s="21">
        <f aca="true" t="shared" si="6" ref="F25:P40">E25*(1+F$24)</f>
        <v>62424</v>
      </c>
      <c r="G25" s="21">
        <f t="shared" si="6"/>
        <v>63672.48</v>
      </c>
      <c r="H25" s="21">
        <f t="shared" si="6"/>
        <v>64945.9296</v>
      </c>
      <c r="I25" s="21">
        <f t="shared" si="6"/>
        <v>66244.848192</v>
      </c>
      <c r="J25" s="21">
        <f t="shared" si="6"/>
        <v>67569.74515584</v>
      </c>
      <c r="K25" s="21">
        <f t="shared" si="6"/>
        <v>68921.14005895681</v>
      </c>
      <c r="L25" s="21">
        <f t="shared" si="6"/>
        <v>70299.56286013595</v>
      </c>
      <c r="M25" s="21">
        <f t="shared" si="6"/>
        <v>71705.55411733867</v>
      </c>
      <c r="N25" s="21">
        <f t="shared" si="6"/>
        <v>73139.66519968545</v>
      </c>
      <c r="O25" s="21">
        <f t="shared" si="6"/>
        <v>74602.45850367915</v>
      </c>
      <c r="P25" s="21">
        <f t="shared" si="6"/>
        <v>76094.50767375274</v>
      </c>
    </row>
    <row r="26" spans="1:16" ht="15.75">
      <c r="A26" s="4" t="s">
        <v>41</v>
      </c>
      <c r="B26" s="21">
        <f>'Monthly Cash Flow'!N24</f>
        <v>68800</v>
      </c>
      <c r="C26" s="21">
        <f>'Monthly Cash Flow'!N77</f>
        <v>120000</v>
      </c>
      <c r="D26" s="21">
        <f>'Monthly Cash Flow'!N131*(1+D$24)</f>
        <v>122400</v>
      </c>
      <c r="E26" s="21">
        <f>'Monthly Cash Flow'!B184*(1+E$24)</f>
        <v>122400</v>
      </c>
      <c r="F26" s="21">
        <f t="shared" si="6"/>
        <v>124848</v>
      </c>
      <c r="G26" s="21">
        <f t="shared" si="6"/>
        <v>127344.96</v>
      </c>
      <c r="H26" s="21">
        <f t="shared" si="6"/>
        <v>129891.8592</v>
      </c>
      <c r="I26" s="21">
        <f t="shared" si="6"/>
        <v>132489.696384</v>
      </c>
      <c r="J26" s="21">
        <f t="shared" si="6"/>
        <v>135139.49031168</v>
      </c>
      <c r="K26" s="21">
        <f t="shared" si="6"/>
        <v>137842.28011791361</v>
      </c>
      <c r="L26" s="21">
        <f t="shared" si="6"/>
        <v>140599.1257202719</v>
      </c>
      <c r="M26" s="21">
        <f t="shared" si="6"/>
        <v>143411.10823467735</v>
      </c>
      <c r="N26" s="21">
        <f t="shared" si="6"/>
        <v>146279.3303993709</v>
      </c>
      <c r="O26" s="21">
        <f t="shared" si="6"/>
        <v>149204.9170073583</v>
      </c>
      <c r="P26" s="21">
        <f t="shared" si="6"/>
        <v>152189.01534750548</v>
      </c>
    </row>
    <row r="27" spans="1:16" ht="15.75">
      <c r="A27" s="4" t="s">
        <v>43</v>
      </c>
      <c r="B27" s="21">
        <f>'Monthly Cash Flow'!N25</f>
        <v>17200</v>
      </c>
      <c r="C27" s="21">
        <f>'Monthly Cash Flow'!N78</f>
        <v>30000</v>
      </c>
      <c r="D27" s="21">
        <f>'Monthly Cash Flow'!N132*(1+D$24)</f>
        <v>30600</v>
      </c>
      <c r="E27" s="21">
        <f>'Monthly Cash Flow'!B185*(1+E$24)</f>
        <v>30600</v>
      </c>
      <c r="F27" s="21">
        <f t="shared" si="6"/>
        <v>31212</v>
      </c>
      <c r="G27" s="21">
        <f t="shared" si="6"/>
        <v>31836.24</v>
      </c>
      <c r="H27" s="21">
        <f t="shared" si="6"/>
        <v>32472.9648</v>
      </c>
      <c r="I27" s="21">
        <f t="shared" si="6"/>
        <v>33122.424096</v>
      </c>
      <c r="J27" s="21">
        <f t="shared" si="6"/>
        <v>33784.87257792</v>
      </c>
      <c r="K27" s="21">
        <f t="shared" si="6"/>
        <v>34460.570029478404</v>
      </c>
      <c r="L27" s="21">
        <f t="shared" si="6"/>
        <v>35149.781430067975</v>
      </c>
      <c r="M27" s="21">
        <f t="shared" si="6"/>
        <v>35852.77705866934</v>
      </c>
      <c r="N27" s="21">
        <f t="shared" si="6"/>
        <v>36569.832599842724</v>
      </c>
      <c r="O27" s="21">
        <f t="shared" si="6"/>
        <v>37301.22925183958</v>
      </c>
      <c r="P27" s="21">
        <f t="shared" si="6"/>
        <v>38047.25383687637</v>
      </c>
    </row>
    <row r="28" spans="1:16" ht="15.75">
      <c r="A28" s="2" t="s">
        <v>45</v>
      </c>
      <c r="B28" s="21">
        <f>'Monthly Cash Flow'!N26</f>
        <v>1992.8571428571431</v>
      </c>
      <c r="C28" s="21">
        <f>'Monthly Cash Flow'!N79</f>
        <v>7311.9047619047615</v>
      </c>
      <c r="D28" s="21">
        <f>'Monthly Cash Flow'!N133*(1+D$24)</f>
        <v>7458.142857142857</v>
      </c>
      <c r="E28" s="21">
        <f>'Monthly Cash Flow'!B186*(1+E$24)</f>
        <v>7458.142857142857</v>
      </c>
      <c r="F28" s="21">
        <f t="shared" si="6"/>
        <v>7607.305714285714</v>
      </c>
      <c r="G28" s="21">
        <f t="shared" si="6"/>
        <v>7759.451828571428</v>
      </c>
      <c r="H28" s="21">
        <f t="shared" si="6"/>
        <v>7914.640865142857</v>
      </c>
      <c r="I28" s="21">
        <f t="shared" si="6"/>
        <v>8072.933682445715</v>
      </c>
      <c r="J28" s="21">
        <f t="shared" si="6"/>
        <v>8234.39235609463</v>
      </c>
      <c r="K28" s="21">
        <f t="shared" si="6"/>
        <v>8399.080203216523</v>
      </c>
      <c r="L28" s="21">
        <f t="shared" si="6"/>
        <v>8567.061807280854</v>
      </c>
      <c r="M28" s="21">
        <f t="shared" si="6"/>
        <v>8738.403043426471</v>
      </c>
      <c r="N28" s="21">
        <f t="shared" si="6"/>
        <v>8913.171104295001</v>
      </c>
      <c r="O28" s="21">
        <f t="shared" si="6"/>
        <v>9091.434526380901</v>
      </c>
      <c r="P28" s="21">
        <f t="shared" si="6"/>
        <v>9273.26321690852</v>
      </c>
    </row>
    <row r="29" spans="1:16" ht="15.75">
      <c r="A29" s="4" t="s">
        <v>46</v>
      </c>
      <c r="B29" s="21">
        <f>'Monthly Cash Flow'!N27</f>
        <v>4022.3214285714284</v>
      </c>
      <c r="C29" s="21">
        <f>'Monthly Cash Flow'!N80</f>
        <v>13834.82142857143</v>
      </c>
      <c r="D29" s="21">
        <f>'Monthly Cash Flow'!N134*(1+D$24)</f>
        <v>14111.517857142859</v>
      </c>
      <c r="E29" s="21">
        <f>'Monthly Cash Flow'!B187*(1+E$24)</f>
        <v>14111.517857142859</v>
      </c>
      <c r="F29" s="21">
        <f t="shared" si="6"/>
        <v>14393.748214285715</v>
      </c>
      <c r="G29" s="21">
        <f t="shared" si="6"/>
        <v>14681.62317857143</v>
      </c>
      <c r="H29" s="21">
        <f t="shared" si="6"/>
        <v>14975.255642142858</v>
      </c>
      <c r="I29" s="21">
        <f t="shared" si="6"/>
        <v>15274.760754985715</v>
      </c>
      <c r="J29" s="21">
        <f t="shared" si="6"/>
        <v>15580.255970085429</v>
      </c>
      <c r="K29" s="21">
        <f t="shared" si="6"/>
        <v>15891.861089487138</v>
      </c>
      <c r="L29" s="21">
        <f t="shared" si="6"/>
        <v>16209.698311276881</v>
      </c>
      <c r="M29" s="21">
        <f t="shared" si="6"/>
        <v>16533.89227750242</v>
      </c>
      <c r="N29" s="21">
        <f t="shared" si="6"/>
        <v>16864.57012305247</v>
      </c>
      <c r="O29" s="21">
        <f t="shared" si="6"/>
        <v>17201.86152551352</v>
      </c>
      <c r="P29" s="21">
        <f t="shared" si="6"/>
        <v>17545.89875602379</v>
      </c>
    </row>
    <row r="30" spans="1:16" ht="15.75">
      <c r="A30" s="2" t="s">
        <v>47</v>
      </c>
      <c r="B30" s="21">
        <f>'Monthly Cash Flow'!N28</f>
        <v>3660.7142857142862</v>
      </c>
      <c r="C30" s="21">
        <f>'Monthly Cash Flow'!N81</f>
        <v>13660.714285714288</v>
      </c>
      <c r="D30" s="21">
        <f>'Monthly Cash Flow'!N135*(1+D$24)</f>
        <v>13933.928571428574</v>
      </c>
      <c r="E30" s="21">
        <f>'Monthly Cash Flow'!B188*(1+E$24)</f>
        <v>13933.928571428574</v>
      </c>
      <c r="F30" s="21">
        <f t="shared" si="6"/>
        <v>14212.607142857147</v>
      </c>
      <c r="G30" s="21">
        <f t="shared" si="6"/>
        <v>14496.85928571429</v>
      </c>
      <c r="H30" s="21">
        <f t="shared" si="6"/>
        <v>14786.796471428577</v>
      </c>
      <c r="I30" s="21">
        <f t="shared" si="6"/>
        <v>15082.53240085715</v>
      </c>
      <c r="J30" s="21">
        <f t="shared" si="6"/>
        <v>15384.183048874293</v>
      </c>
      <c r="K30" s="21">
        <f t="shared" si="6"/>
        <v>15691.866709851778</v>
      </c>
      <c r="L30" s="21">
        <f t="shared" si="6"/>
        <v>16005.704044048814</v>
      </c>
      <c r="M30" s="21">
        <f t="shared" si="6"/>
        <v>16325.81812492979</v>
      </c>
      <c r="N30" s="21">
        <f t="shared" si="6"/>
        <v>16652.334487428387</v>
      </c>
      <c r="O30" s="21">
        <f t="shared" si="6"/>
        <v>16985.381177176954</v>
      </c>
      <c r="P30" s="21">
        <f t="shared" si="6"/>
        <v>17325.088800720492</v>
      </c>
    </row>
    <row r="31" spans="1:16" ht="15.75">
      <c r="A31" s="2" t="s">
        <v>48</v>
      </c>
      <c r="B31" s="21">
        <f>'Monthly Cash Flow'!N29</f>
        <v>2000</v>
      </c>
      <c r="C31" s="21">
        <f>'Monthly Cash Flow'!N82</f>
        <v>3000</v>
      </c>
      <c r="D31" s="21">
        <f>'Monthly Cash Flow'!N136*(1+D$24)</f>
        <v>3060</v>
      </c>
      <c r="E31" s="21">
        <f>'Monthly Cash Flow'!B189*(1+E$24)</f>
        <v>3060</v>
      </c>
      <c r="F31" s="21">
        <f t="shared" si="6"/>
        <v>3121.2000000000003</v>
      </c>
      <c r="G31" s="21">
        <f t="shared" si="6"/>
        <v>3183.6240000000003</v>
      </c>
      <c r="H31" s="21">
        <f t="shared" si="6"/>
        <v>3247.2964800000004</v>
      </c>
      <c r="I31" s="21">
        <f t="shared" si="6"/>
        <v>3312.2424096000004</v>
      </c>
      <c r="J31" s="21">
        <f t="shared" si="6"/>
        <v>3378.4872577920005</v>
      </c>
      <c r="K31" s="21">
        <f t="shared" si="6"/>
        <v>3446.0570029478404</v>
      </c>
      <c r="L31" s="21">
        <f t="shared" si="6"/>
        <v>3514.9781430067974</v>
      </c>
      <c r="M31" s="21">
        <f t="shared" si="6"/>
        <v>3585.2777058669335</v>
      </c>
      <c r="N31" s="21">
        <f t="shared" si="6"/>
        <v>3656.983259984272</v>
      </c>
      <c r="O31" s="21">
        <f t="shared" si="6"/>
        <v>3730.1229251839577</v>
      </c>
      <c r="P31" s="21">
        <f t="shared" si="6"/>
        <v>3804.725383687637</v>
      </c>
    </row>
    <row r="32" spans="1:16" ht="15.75">
      <c r="A32" s="4" t="s">
        <v>49</v>
      </c>
      <c r="B32" s="21">
        <f>'Monthly Cash Flow'!N30</f>
        <v>14350</v>
      </c>
      <c r="C32" s="21">
        <f>'Monthly Cash Flow'!N83</f>
        <v>28700</v>
      </c>
      <c r="D32" s="21">
        <f>'Monthly Cash Flow'!N137*(1+D$24)</f>
        <v>29274</v>
      </c>
      <c r="E32" s="21">
        <f>'Monthly Cash Flow'!B190*(1+E$24)</f>
        <v>29274</v>
      </c>
      <c r="F32" s="21">
        <f t="shared" si="6"/>
        <v>29859.48</v>
      </c>
      <c r="G32" s="21">
        <f t="shared" si="6"/>
        <v>30456.6696</v>
      </c>
      <c r="H32" s="21">
        <f t="shared" si="6"/>
        <v>31065.802992</v>
      </c>
      <c r="I32" s="21">
        <f t="shared" si="6"/>
        <v>31687.11905184</v>
      </c>
      <c r="J32" s="21">
        <f t="shared" si="6"/>
        <v>32320.8614328768</v>
      </c>
      <c r="K32" s="21">
        <f t="shared" si="6"/>
        <v>32967.278661534336</v>
      </c>
      <c r="L32" s="21">
        <f t="shared" si="6"/>
        <v>33626.624234765026</v>
      </c>
      <c r="M32" s="21">
        <f t="shared" si="6"/>
        <v>34299.15671946033</v>
      </c>
      <c r="N32" s="21">
        <f t="shared" si="6"/>
        <v>34985.139853849534</v>
      </c>
      <c r="O32" s="21">
        <f t="shared" si="6"/>
        <v>35684.84265092653</v>
      </c>
      <c r="P32" s="21">
        <f t="shared" si="6"/>
        <v>36398.53950394506</v>
      </c>
    </row>
    <row r="33" spans="1:16" ht="15.75">
      <c r="A33" s="4" t="s">
        <v>51</v>
      </c>
      <c r="B33" s="21">
        <f>'Monthly Cash Flow'!N31</f>
        <v>20500</v>
      </c>
      <c r="C33" s="21">
        <f>'Monthly Cash Flow'!N84</f>
        <v>30750</v>
      </c>
      <c r="D33" s="21">
        <f>'Monthly Cash Flow'!N138*(1+D$24)</f>
        <v>31365</v>
      </c>
      <c r="E33" s="21">
        <f>'Monthly Cash Flow'!B191*(1+E$24)</f>
        <v>31365</v>
      </c>
      <c r="F33" s="21">
        <f t="shared" si="6"/>
        <v>31992.3</v>
      </c>
      <c r="G33" s="21">
        <f t="shared" si="6"/>
        <v>32632.146</v>
      </c>
      <c r="H33" s="21">
        <f t="shared" si="6"/>
        <v>33284.78892</v>
      </c>
      <c r="I33" s="21">
        <f t="shared" si="6"/>
        <v>33950.4846984</v>
      </c>
      <c r="J33" s="21">
        <f t="shared" si="6"/>
        <v>34629.494392368004</v>
      </c>
      <c r="K33" s="21">
        <f t="shared" si="6"/>
        <v>35322.084280215364</v>
      </c>
      <c r="L33" s="21">
        <f t="shared" si="6"/>
        <v>36028.525965819674</v>
      </c>
      <c r="M33" s="21">
        <f t="shared" si="6"/>
        <v>36749.09648513607</v>
      </c>
      <c r="N33" s="21">
        <f t="shared" si="6"/>
        <v>37484.07841483879</v>
      </c>
      <c r="O33" s="21">
        <f t="shared" si="6"/>
        <v>38233.75998313557</v>
      </c>
      <c r="P33" s="21">
        <f t="shared" si="6"/>
        <v>38998.43518279828</v>
      </c>
    </row>
    <row r="34" spans="1:16" ht="15.75">
      <c r="A34" s="4" t="s">
        <v>448</v>
      </c>
      <c r="B34" s="21">
        <f>'Monthly Cash Flow'!N32</f>
        <v>-15381.308351372792</v>
      </c>
      <c r="C34" s="21">
        <f>'Monthly Cash Flow'!N85</f>
        <v>-5346.085869606737</v>
      </c>
      <c r="D34" s="21">
        <f>'Monthly Cash Flow'!N139*(1+D$24)</f>
        <v>-2440.5345653276204</v>
      </c>
      <c r="E34" s="21">
        <f>'Monthly Cash Flow'!B192*(1+E$24)</f>
        <v>-2440.5345653276204</v>
      </c>
      <c r="F34" s="21">
        <f t="shared" si="6"/>
        <v>-2489.345256634173</v>
      </c>
      <c r="G34" s="21">
        <f t="shared" si="6"/>
        <v>-2539.1321617668564</v>
      </c>
      <c r="H34" s="21">
        <f t="shared" si="6"/>
        <v>-2589.9148050021936</v>
      </c>
      <c r="I34" s="21">
        <f t="shared" si="6"/>
        <v>-2641.7131011022375</v>
      </c>
      <c r="J34" s="21">
        <f t="shared" si="6"/>
        <v>-2694.547363124282</v>
      </c>
      <c r="K34" s="21">
        <f t="shared" si="6"/>
        <v>-2748.4383103867676</v>
      </c>
      <c r="L34" s="21">
        <f t="shared" si="6"/>
        <v>-2803.407076594503</v>
      </c>
      <c r="M34" s="21">
        <f t="shared" si="6"/>
        <v>-2859.475218126393</v>
      </c>
      <c r="N34" s="21">
        <f t="shared" si="6"/>
        <v>-2916.6647224889207</v>
      </c>
      <c r="O34" s="21">
        <f t="shared" si="6"/>
        <v>-2974.998016938699</v>
      </c>
      <c r="P34" s="21">
        <f t="shared" si="6"/>
        <v>-3034.497977277473</v>
      </c>
    </row>
    <row r="35" spans="1:16" ht="15.75">
      <c r="A35" s="11" t="s">
        <v>52</v>
      </c>
      <c r="B35" s="21">
        <f>'Monthly Cash Flow'!N33</f>
        <v>12895.833333333332</v>
      </c>
      <c r="C35" s="21">
        <f>'Monthly Cash Flow'!N86</f>
        <v>30950.000000000004</v>
      </c>
      <c r="D35" s="21">
        <f>'Monthly Cash Flow'!N140*(1+D$24)</f>
        <v>31569.000000000004</v>
      </c>
      <c r="E35" s="21">
        <f>'Monthly Cash Flow'!B193*(1+E$24)</f>
        <v>31569.000000000004</v>
      </c>
      <c r="F35" s="21">
        <f t="shared" si="6"/>
        <v>32200.380000000005</v>
      </c>
      <c r="G35" s="21">
        <f t="shared" si="6"/>
        <v>32844.3876</v>
      </c>
      <c r="H35" s="21">
        <f t="shared" si="6"/>
        <v>33501.275352000004</v>
      </c>
      <c r="I35" s="21">
        <f t="shared" si="6"/>
        <v>34171.300859040006</v>
      </c>
      <c r="J35" s="21">
        <f t="shared" si="6"/>
        <v>34854.726876220804</v>
      </c>
      <c r="K35" s="21">
        <f t="shared" si="6"/>
        <v>35551.82141374522</v>
      </c>
      <c r="L35" s="21">
        <f t="shared" si="6"/>
        <v>36262.85784202013</v>
      </c>
      <c r="M35" s="21">
        <f t="shared" si="6"/>
        <v>36988.11499886053</v>
      </c>
      <c r="N35" s="21">
        <f t="shared" si="6"/>
        <v>37727.877298837746</v>
      </c>
      <c r="O35" s="21">
        <f t="shared" si="6"/>
        <v>38482.4348448145</v>
      </c>
      <c r="P35" s="21">
        <f t="shared" si="6"/>
        <v>39252.083541710796</v>
      </c>
    </row>
    <row r="36" spans="1:16" ht="15.75">
      <c r="A36" s="11" t="s">
        <v>53</v>
      </c>
      <c r="B36" s="21">
        <f>'Monthly Cash Flow'!N34</f>
        <v>13333.333333333332</v>
      </c>
      <c r="C36" s="21">
        <f>'Monthly Cash Flow'!N87</f>
        <v>20000</v>
      </c>
      <c r="D36" s="21">
        <f>'Monthly Cash Flow'!N141*(1+D$24)</f>
        <v>20400</v>
      </c>
      <c r="E36" s="21">
        <f>'Monthly Cash Flow'!B194*(1+E$24)</f>
        <v>20400</v>
      </c>
      <c r="F36" s="21">
        <f t="shared" si="6"/>
        <v>20808</v>
      </c>
      <c r="G36" s="21">
        <f t="shared" si="6"/>
        <v>21224.16</v>
      </c>
      <c r="H36" s="21">
        <f t="shared" si="6"/>
        <v>21648.6432</v>
      </c>
      <c r="I36" s="21">
        <f t="shared" si="6"/>
        <v>22081.616063999998</v>
      </c>
      <c r="J36" s="21">
        <f t="shared" si="6"/>
        <v>22523.24838528</v>
      </c>
      <c r="K36" s="21">
        <f t="shared" si="6"/>
        <v>22973.7133529856</v>
      </c>
      <c r="L36" s="21">
        <f t="shared" si="6"/>
        <v>23433.18762004531</v>
      </c>
      <c r="M36" s="21">
        <f t="shared" si="6"/>
        <v>23901.851372446217</v>
      </c>
      <c r="N36" s="21">
        <f t="shared" si="6"/>
        <v>24379.888399895142</v>
      </c>
      <c r="O36" s="21">
        <f t="shared" si="6"/>
        <v>24867.486167893047</v>
      </c>
      <c r="P36" s="21">
        <f t="shared" si="6"/>
        <v>25364.835891250907</v>
      </c>
    </row>
    <row r="37" spans="1:16" ht="15.75">
      <c r="A37" s="11" t="s">
        <v>348</v>
      </c>
      <c r="B37" s="21">
        <f>'Monthly Cash Flow'!N35</f>
        <v>0</v>
      </c>
      <c r="C37" s="21">
        <f>'Monthly Cash Flow'!N88</f>
        <v>0</v>
      </c>
      <c r="D37" s="21">
        <f>'Monthly Cash Flow'!N142*(1+D$24)</f>
        <v>0</v>
      </c>
      <c r="E37" s="21">
        <f>'Monthly Cash Flow'!B195*(1+E$24)</f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</row>
    <row r="38" spans="1:16" ht="15.75">
      <c r="A38" s="11" t="s">
        <v>54</v>
      </c>
      <c r="B38" s="21">
        <f>'Monthly Cash Flow'!N36</f>
        <v>0</v>
      </c>
      <c r="C38" s="21">
        <f>'Monthly Cash Flow'!N89</f>
        <v>0</v>
      </c>
      <c r="D38" s="21">
        <f>'Monthly Cash Flow'!N143*(1+D$24)</f>
        <v>0</v>
      </c>
      <c r="E38" s="21">
        <f>'Monthly Cash Flow'!B196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1">
        <f t="shared" si="6"/>
        <v>0</v>
      </c>
      <c r="O38" s="21">
        <f t="shared" si="6"/>
        <v>0</v>
      </c>
      <c r="P38" s="21">
        <f t="shared" si="6"/>
        <v>0</v>
      </c>
    </row>
    <row r="39" spans="1:16" ht="15.75">
      <c r="A39" s="11" t="s">
        <v>54</v>
      </c>
      <c r="B39" s="21">
        <f>'Monthly Cash Flow'!N37</f>
        <v>0</v>
      </c>
      <c r="C39" s="21">
        <f>'Monthly Cash Flow'!N90</f>
        <v>0</v>
      </c>
      <c r="D39" s="21">
        <f>'Monthly Cash Flow'!N144*(1+D$24)</f>
        <v>0</v>
      </c>
      <c r="E39" s="21">
        <f>'Monthly Cash Flow'!B197</f>
        <v>0</v>
      </c>
      <c r="F39" s="21">
        <f t="shared" si="6"/>
        <v>0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0</v>
      </c>
      <c r="N39" s="21">
        <f t="shared" si="6"/>
        <v>0</v>
      </c>
      <c r="O39" s="21">
        <f t="shared" si="6"/>
        <v>0</v>
      </c>
      <c r="P39" s="21">
        <f t="shared" si="6"/>
        <v>0</v>
      </c>
    </row>
    <row r="40" spans="1:16" ht="15.75">
      <c r="A40" s="11" t="s">
        <v>54</v>
      </c>
      <c r="B40" s="21">
        <f>'Monthly Cash Flow'!N38</f>
        <v>0</v>
      </c>
      <c r="C40" s="21">
        <f>'Monthly Cash Flow'!N91</f>
        <v>0</v>
      </c>
      <c r="D40" s="21">
        <f>'Monthly Cash Flow'!N145*(1+D$24)</f>
        <v>0</v>
      </c>
      <c r="E40" s="21">
        <f>'Monthly Cash Flow'!B198</f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  <c r="P40" s="21">
        <f t="shared" si="6"/>
        <v>0</v>
      </c>
    </row>
    <row r="41" spans="1:16" ht="15.75">
      <c r="A41" s="14" t="s">
        <v>135</v>
      </c>
      <c r="B41" s="21">
        <f>SUM(B25:B40)+B23+B21+B22</f>
        <v>1038682.9659965098</v>
      </c>
      <c r="C41" s="21">
        <f aca="true" t="shared" si="7" ref="C41:P41">SUM(C25:C40)+C23+C21+C22</f>
        <v>2769147.633814765</v>
      </c>
      <c r="D41" s="21">
        <f t="shared" si="7"/>
        <v>2779217.3339285683</v>
      </c>
      <c r="E41" s="21">
        <f t="shared" si="7"/>
        <v>2639142.767017949</v>
      </c>
      <c r="F41" s="21">
        <f t="shared" si="7"/>
        <v>2646401.3881123564</v>
      </c>
      <c r="G41" s="21">
        <f t="shared" si="7"/>
        <v>2653805.1816286524</v>
      </c>
      <c r="H41" s="21">
        <f t="shared" si="7"/>
        <v>2661357.051015274</v>
      </c>
      <c r="I41" s="21">
        <f t="shared" si="7"/>
        <v>2669059.9577896283</v>
      </c>
      <c r="J41" s="21">
        <f t="shared" si="7"/>
        <v>2676916.9226994696</v>
      </c>
      <c r="K41" s="21">
        <f t="shared" si="7"/>
        <v>2684931.026907508</v>
      </c>
      <c r="L41" s="21">
        <f t="shared" si="7"/>
        <v>2693105.413199707</v>
      </c>
      <c r="M41" s="21">
        <f t="shared" si="7"/>
        <v>2701443.2872177497</v>
      </c>
      <c r="N41" s="21">
        <f t="shared" si="7"/>
        <v>2709947.9187161536</v>
      </c>
      <c r="O41" s="21">
        <f t="shared" si="7"/>
        <v>2718622.642844525</v>
      </c>
      <c r="P41" s="21">
        <f t="shared" si="7"/>
        <v>2727470.8614554647</v>
      </c>
    </row>
    <row r="42" spans="1:4" ht="15.75">
      <c r="A42" s="11"/>
      <c r="B42" s="21"/>
      <c r="C42" s="21"/>
      <c r="D42" s="21"/>
    </row>
    <row r="43" spans="1:16" ht="15.75">
      <c r="A43" s="14" t="s">
        <v>136</v>
      </c>
      <c r="B43" s="21">
        <f aca="true" t="shared" si="8" ref="B43:P43">B41+B13</f>
        <v>1038682.9659965098</v>
      </c>
      <c r="C43" s="21">
        <f t="shared" si="8"/>
        <v>2769147.633814765</v>
      </c>
      <c r="D43" s="21">
        <f t="shared" si="8"/>
        <v>2779217.3339285683</v>
      </c>
      <c r="E43" s="21">
        <f t="shared" si="8"/>
        <v>2639142.767017949</v>
      </c>
      <c r="F43" s="21">
        <f t="shared" si="8"/>
        <v>2646401.3881123564</v>
      </c>
      <c r="G43" s="21">
        <f t="shared" si="8"/>
        <v>2653805.1816286524</v>
      </c>
      <c r="H43" s="21">
        <f t="shared" si="8"/>
        <v>2661357.051015274</v>
      </c>
      <c r="I43" s="21">
        <f t="shared" si="8"/>
        <v>2669059.9577896283</v>
      </c>
      <c r="J43" s="21">
        <f t="shared" si="8"/>
        <v>2676916.9226994696</v>
      </c>
      <c r="K43" s="21">
        <f t="shared" si="8"/>
        <v>2684931.026907508</v>
      </c>
      <c r="L43" s="21">
        <f t="shared" si="8"/>
        <v>2693105.413199707</v>
      </c>
      <c r="M43" s="21">
        <f t="shared" si="8"/>
        <v>2701443.2872177497</v>
      </c>
      <c r="N43" s="21">
        <f t="shared" si="8"/>
        <v>2709947.9187161536</v>
      </c>
      <c r="O43" s="21">
        <f t="shared" si="8"/>
        <v>2718622.642844525</v>
      </c>
      <c r="P43" s="21">
        <f t="shared" si="8"/>
        <v>2727470.8614554647</v>
      </c>
    </row>
    <row r="44" spans="2:4" ht="15.75">
      <c r="B44" s="21"/>
      <c r="C44" s="21"/>
      <c r="D44" s="21"/>
    </row>
    <row r="45" spans="1:4" ht="15.75">
      <c r="A45" s="18" t="s">
        <v>35</v>
      </c>
      <c r="B45" s="21"/>
      <c r="C45" s="21"/>
      <c r="D45" s="21"/>
    </row>
    <row r="46" spans="1:16" ht="15.75">
      <c r="A46" s="2" t="s">
        <v>329</v>
      </c>
      <c r="B46" s="21">
        <f>'Monthly Cash Flow'!N44</f>
        <v>0</v>
      </c>
      <c r="C46" s="21">
        <f>'Monthly Cash Flow'!N97</f>
        <v>0</v>
      </c>
      <c r="D46" s="21">
        <f>'Monthly Cash Flow'!N151</f>
        <v>0</v>
      </c>
      <c r="E46" s="109">
        <f>'Monthly Cash Flow'!B204</f>
        <v>0</v>
      </c>
      <c r="F46" s="109">
        <f>E46</f>
        <v>0</v>
      </c>
      <c r="G46" s="109">
        <f aca="true" t="shared" si="9" ref="G46:P46">F46</f>
        <v>0</v>
      </c>
      <c r="H46" s="109">
        <f t="shared" si="9"/>
        <v>0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0</v>
      </c>
      <c r="N46" s="109">
        <f t="shared" si="9"/>
        <v>0</v>
      </c>
      <c r="O46" s="109">
        <f t="shared" si="9"/>
        <v>0</v>
      </c>
      <c r="P46" s="109">
        <f t="shared" si="9"/>
        <v>0</v>
      </c>
    </row>
    <row r="47" spans="1:16" ht="15.75">
      <c r="A47" s="2" t="s">
        <v>137</v>
      </c>
      <c r="B47" s="21">
        <f>'Monthly Cash Flow'!N45</f>
        <v>581674.7240357182</v>
      </c>
      <c r="C47" s="21">
        <f>'Monthly Cash Flow'!N98</f>
        <v>2400553.8874211432</v>
      </c>
      <c r="D47" s="21">
        <f>'Monthly Cash Flow'!N152</f>
        <v>2345909.0089399824</v>
      </c>
      <c r="E47" s="109">
        <f>'Monthly Cash Flow'!B205</f>
        <v>2276211.712297562</v>
      </c>
      <c r="F47" s="109">
        <f>E47</f>
        <v>2276211.712297562</v>
      </c>
      <c r="G47" s="109">
        <f aca="true" t="shared" si="10" ref="G47:P47">F47</f>
        <v>2276211.712297562</v>
      </c>
      <c r="H47" s="109">
        <f t="shared" si="10"/>
        <v>2276211.712297562</v>
      </c>
      <c r="I47" s="109">
        <f t="shared" si="10"/>
        <v>2276211.712297562</v>
      </c>
      <c r="J47" s="109">
        <f t="shared" si="10"/>
        <v>2276211.712297562</v>
      </c>
      <c r="K47" s="109">
        <f t="shared" si="10"/>
        <v>2276211.712297562</v>
      </c>
      <c r="L47" s="109">
        <f t="shared" si="10"/>
        <v>2276211.712297562</v>
      </c>
      <c r="M47" s="109">
        <f t="shared" si="10"/>
        <v>2276211.712297562</v>
      </c>
      <c r="N47" s="109">
        <f t="shared" si="10"/>
        <v>2276211.712297562</v>
      </c>
      <c r="O47" s="115">
        <f t="shared" si="10"/>
        <v>2276211.712297562</v>
      </c>
      <c r="P47" s="115">
        <f t="shared" si="10"/>
        <v>2276211.712297562</v>
      </c>
    </row>
    <row r="48" spans="1:16" ht="15.75">
      <c r="A48" s="2" t="s">
        <v>148</v>
      </c>
      <c r="B48" s="40">
        <f>Inputs!$G69</f>
        <v>0.43</v>
      </c>
      <c r="C48" s="40">
        <f>Inputs!$G69</f>
        <v>0.43</v>
      </c>
      <c r="D48" s="40">
        <f>Inputs!$G69</f>
        <v>0.43</v>
      </c>
      <c r="E48" s="40">
        <f>Inputs!$G69</f>
        <v>0.43</v>
      </c>
      <c r="F48" s="40">
        <f>Inputs!$G69</f>
        <v>0.43</v>
      </c>
      <c r="G48" s="40">
        <f>Inputs!$G69</f>
        <v>0.43</v>
      </c>
      <c r="H48" s="40">
        <f>Inputs!$G69</f>
        <v>0.43</v>
      </c>
      <c r="I48" s="40">
        <f>Inputs!$G69</f>
        <v>0.43</v>
      </c>
      <c r="J48" s="40">
        <f>Inputs!$G69</f>
        <v>0.43</v>
      </c>
      <c r="K48" s="40">
        <f>Inputs!$G69</f>
        <v>0.43</v>
      </c>
      <c r="L48" s="40">
        <f>Inputs!$G69</f>
        <v>0.43</v>
      </c>
      <c r="M48" s="40">
        <f>Inputs!$G69</f>
        <v>0.43</v>
      </c>
      <c r="N48" s="40">
        <f>Inputs!$G69</f>
        <v>0.43</v>
      </c>
      <c r="O48" s="40">
        <f>Inputs!$G69</f>
        <v>0.43</v>
      </c>
      <c r="P48" s="40">
        <f>Inputs!$G69</f>
        <v>0.43</v>
      </c>
    </row>
    <row r="49" spans="1:16" ht="15.75">
      <c r="A49" s="2" t="s">
        <v>138</v>
      </c>
      <c r="B49" s="21">
        <f>'Monthly Cash Flow'!N46</f>
        <v>215086</v>
      </c>
      <c r="C49" s="21">
        <f>'Monthly Cash Flow'!N99</f>
        <v>802638</v>
      </c>
      <c r="D49" s="21">
        <f>'Monthly Cash Flow'!N153</f>
        <v>802638</v>
      </c>
      <c r="E49" s="109">
        <f>'Monthly Cash Flow'!B206</f>
        <v>802638</v>
      </c>
      <c r="F49" s="109">
        <f>E49</f>
        <v>802638</v>
      </c>
      <c r="G49" s="109">
        <f aca="true" t="shared" si="11" ref="G49:P49">F49</f>
        <v>802638</v>
      </c>
      <c r="H49" s="109">
        <f t="shared" si="11"/>
        <v>802638</v>
      </c>
      <c r="I49" s="109">
        <f t="shared" si="11"/>
        <v>802638</v>
      </c>
      <c r="J49" s="109">
        <f t="shared" si="11"/>
        <v>802638</v>
      </c>
      <c r="K49" s="109">
        <f t="shared" si="11"/>
        <v>802638</v>
      </c>
      <c r="L49" s="109">
        <f t="shared" si="11"/>
        <v>802638</v>
      </c>
      <c r="M49" s="109">
        <f t="shared" si="11"/>
        <v>802638</v>
      </c>
      <c r="N49" s="109">
        <f t="shared" si="11"/>
        <v>802638</v>
      </c>
      <c r="O49" s="109">
        <f t="shared" si="11"/>
        <v>802638</v>
      </c>
      <c r="P49" s="109">
        <f t="shared" si="11"/>
        <v>802638</v>
      </c>
    </row>
    <row r="50" spans="1:16" ht="15.75">
      <c r="A50" s="2" t="s">
        <v>149</v>
      </c>
      <c r="B50" s="40">
        <f>Inputs!$G$70</f>
        <v>0</v>
      </c>
      <c r="C50" s="40">
        <f>Inputs!$G$70</f>
        <v>0</v>
      </c>
      <c r="D50" s="40">
        <f>Inputs!$G$70</f>
        <v>0</v>
      </c>
      <c r="E50" s="40">
        <f>Inputs!$G$70</f>
        <v>0</v>
      </c>
      <c r="F50" s="40">
        <f>Inputs!$G$70</f>
        <v>0</v>
      </c>
      <c r="G50" s="40">
        <f>Inputs!$G$70</f>
        <v>0</v>
      </c>
      <c r="H50" s="40">
        <f>Inputs!$G$70</f>
        <v>0</v>
      </c>
      <c r="I50" s="40">
        <f>Inputs!$G$70</f>
        <v>0</v>
      </c>
      <c r="J50" s="40">
        <f>Inputs!$G$70</f>
        <v>0</v>
      </c>
      <c r="K50" s="40">
        <f>Inputs!$G$70</f>
        <v>0</v>
      </c>
      <c r="L50" s="40">
        <f>Inputs!$G$70</f>
        <v>0</v>
      </c>
      <c r="M50" s="40">
        <f>Inputs!$G$70</f>
        <v>0</v>
      </c>
      <c r="N50" s="40">
        <f>Inputs!$G$70</f>
        <v>0</v>
      </c>
      <c r="O50" s="40">
        <f>Inputs!$G$70</f>
        <v>0</v>
      </c>
      <c r="P50" s="40">
        <f>Inputs!$G$70</f>
        <v>0</v>
      </c>
    </row>
    <row r="51" spans="1:16" ht="15.75">
      <c r="A51" s="2" t="s">
        <v>139</v>
      </c>
      <c r="B51" s="123">
        <f>'Monthly Cash Flow'!N47</f>
        <v>0</v>
      </c>
      <c r="C51" s="123">
        <f>'Monthly Cash Flow'!N100</f>
        <v>0</v>
      </c>
      <c r="D51" s="123">
        <f>'Monthly Cash Flow'!N154</f>
        <v>0</v>
      </c>
      <c r="E51" s="37">
        <f>'Monthly Cash Flow'!$B207</f>
        <v>0</v>
      </c>
      <c r="F51" s="109">
        <f>'Monthly Cash Flow'!$B207</f>
        <v>0</v>
      </c>
      <c r="G51" s="109">
        <f>'Monthly Cash Flow'!$B207</f>
        <v>0</v>
      </c>
      <c r="H51" s="109">
        <f>'Monthly Cash Flow'!$B207</f>
        <v>0</v>
      </c>
      <c r="I51" s="109">
        <f>'Monthly Cash Flow'!$B207</f>
        <v>0</v>
      </c>
      <c r="J51" s="109">
        <f>'Monthly Cash Flow'!$B207</f>
        <v>0</v>
      </c>
      <c r="K51" s="109">
        <f>'Monthly Cash Flow'!$B207</f>
        <v>0</v>
      </c>
      <c r="L51" s="109">
        <f>'Monthly Cash Flow'!$B207</f>
        <v>0</v>
      </c>
      <c r="M51" s="109">
        <f>'Monthly Cash Flow'!$B207</f>
        <v>0</v>
      </c>
      <c r="N51" s="109">
        <f>'Monthly Cash Flow'!$B207</f>
        <v>0</v>
      </c>
      <c r="O51" s="109">
        <f>'Monthly Cash Flow'!$B207</f>
        <v>0</v>
      </c>
      <c r="P51" s="109">
        <f>'Monthly Cash Flow'!$B207</f>
        <v>0</v>
      </c>
    </row>
    <row r="52" spans="1:16" ht="15.75">
      <c r="A52" s="2" t="s">
        <v>150</v>
      </c>
      <c r="B52" s="40">
        <f>Inputs!$G$71</f>
        <v>0</v>
      </c>
      <c r="C52" s="40">
        <f>Inputs!$G$71</f>
        <v>0</v>
      </c>
      <c r="D52" s="40">
        <f>Inputs!$G$71</f>
        <v>0</v>
      </c>
      <c r="E52" s="40">
        <f>Inputs!$G$71</f>
        <v>0</v>
      </c>
      <c r="F52" s="40">
        <f>Inputs!$G$71</f>
        <v>0</v>
      </c>
      <c r="G52" s="40">
        <f>Inputs!$G$71</f>
        <v>0</v>
      </c>
      <c r="H52" s="40">
        <f>Inputs!$G$71</f>
        <v>0</v>
      </c>
      <c r="I52" s="40">
        <f>Inputs!$G$71</f>
        <v>0</v>
      </c>
      <c r="J52" s="40">
        <f>Inputs!$G$71</f>
        <v>0</v>
      </c>
      <c r="K52" s="40">
        <f>Inputs!$G$71</f>
        <v>0</v>
      </c>
      <c r="L52" s="40">
        <f>Inputs!$G$71</f>
        <v>0</v>
      </c>
      <c r="M52" s="40">
        <f>Inputs!$G$71</f>
        <v>0</v>
      </c>
      <c r="N52" s="40">
        <f>Inputs!$G$71</f>
        <v>0</v>
      </c>
      <c r="O52" s="40">
        <f>Inputs!$G$71</f>
        <v>0</v>
      </c>
      <c r="P52" s="40">
        <f>Inputs!$G$71</f>
        <v>0</v>
      </c>
    </row>
    <row r="53" spans="1:16" ht="15.75">
      <c r="A53" s="2" t="s">
        <v>140</v>
      </c>
      <c r="B53" s="21">
        <f>'Monthly Cash Flow'!N48</f>
        <v>0</v>
      </c>
      <c r="C53" s="21">
        <f>'Monthly Cash Flow'!N101</f>
        <v>0</v>
      </c>
      <c r="D53" s="21">
        <f>'Monthly Cash Flow'!N155</f>
        <v>0</v>
      </c>
      <c r="E53" s="37">
        <f>'Monthly Cash Flow'!$B208</f>
        <v>0</v>
      </c>
      <c r="F53" s="37">
        <f>'Monthly Cash Flow'!$B208</f>
        <v>0</v>
      </c>
      <c r="G53" s="37">
        <f>'Monthly Cash Flow'!$B208</f>
        <v>0</v>
      </c>
      <c r="H53" s="37">
        <f>'Monthly Cash Flow'!$B208</f>
        <v>0</v>
      </c>
      <c r="I53" s="37">
        <f>'Monthly Cash Flow'!$B208</f>
        <v>0</v>
      </c>
      <c r="J53" s="37">
        <f>'Monthly Cash Flow'!$B208</f>
        <v>0</v>
      </c>
      <c r="K53" s="37">
        <f>'Monthly Cash Flow'!$B208</f>
        <v>0</v>
      </c>
      <c r="L53" s="37">
        <f>'Monthly Cash Flow'!$B208</f>
        <v>0</v>
      </c>
      <c r="M53" s="37">
        <f>'Monthly Cash Flow'!$B208</f>
        <v>0</v>
      </c>
      <c r="N53" s="37">
        <f>'Monthly Cash Flow'!$B208</f>
        <v>0</v>
      </c>
      <c r="O53" s="37">
        <f>'Monthly Cash Flow'!$B208</f>
        <v>0</v>
      </c>
      <c r="P53" s="37">
        <f>'Monthly Cash Flow'!$B208</f>
        <v>0</v>
      </c>
    </row>
    <row r="54" spans="1:16" ht="15.75">
      <c r="A54" s="18" t="s">
        <v>141</v>
      </c>
      <c r="B54" s="21">
        <f>B46+B47+B49+B51+B53</f>
        <v>796760.7240357182</v>
      </c>
      <c r="C54" s="21">
        <f aca="true" t="shared" si="12" ref="C54:P54">C46+C47+C49+C51+C53</f>
        <v>3203191.8874211432</v>
      </c>
      <c r="D54" s="21">
        <f t="shared" si="12"/>
        <v>3148547.0089399824</v>
      </c>
      <c r="E54" s="21">
        <f t="shared" si="12"/>
        <v>3078849.712297562</v>
      </c>
      <c r="F54" s="21">
        <f t="shared" si="12"/>
        <v>3078849.712297562</v>
      </c>
      <c r="G54" s="21">
        <f t="shared" si="12"/>
        <v>3078849.712297562</v>
      </c>
      <c r="H54" s="21">
        <f t="shared" si="12"/>
        <v>3078849.712297562</v>
      </c>
      <c r="I54" s="21">
        <f t="shared" si="12"/>
        <v>3078849.712297562</v>
      </c>
      <c r="J54" s="21">
        <f t="shared" si="12"/>
        <v>3078849.712297562</v>
      </c>
      <c r="K54" s="21">
        <f t="shared" si="12"/>
        <v>3078849.712297562</v>
      </c>
      <c r="L54" s="21">
        <f t="shared" si="12"/>
        <v>3078849.712297562</v>
      </c>
      <c r="M54" s="21">
        <f t="shared" si="12"/>
        <v>3078849.712297562</v>
      </c>
      <c r="N54" s="21">
        <f t="shared" si="12"/>
        <v>3078849.712297562</v>
      </c>
      <c r="O54" s="21">
        <f t="shared" si="12"/>
        <v>3078849.712297562</v>
      </c>
      <c r="P54" s="21">
        <f t="shared" si="12"/>
        <v>3078849.712297562</v>
      </c>
    </row>
    <row r="55" spans="2:4" ht="15.75">
      <c r="B55" s="21"/>
      <c r="C55" s="21"/>
      <c r="D55" s="21"/>
    </row>
    <row r="56" spans="1:16" ht="15.75">
      <c r="A56" s="18" t="s">
        <v>142</v>
      </c>
      <c r="B56" s="21">
        <f>'Monthly Cash Flow'!N51</f>
        <v>-241922.24196079164</v>
      </c>
      <c r="C56" s="21">
        <f>'Monthly Cash Flow'!N104</f>
        <v>434044.2536063781</v>
      </c>
      <c r="D56" s="21">
        <f>D54-D43</f>
        <v>369329.6750114141</v>
      </c>
      <c r="E56" s="21">
        <f aca="true" t="shared" si="13" ref="E56:P56">E54-E43</f>
        <v>439706.94527961314</v>
      </c>
      <c r="F56" s="21">
        <f t="shared" si="13"/>
        <v>432448.3241852056</v>
      </c>
      <c r="G56" s="21">
        <f t="shared" si="13"/>
        <v>425044.53066890966</v>
      </c>
      <c r="H56" s="21">
        <f t="shared" si="13"/>
        <v>417492.6612822879</v>
      </c>
      <c r="I56" s="21">
        <f t="shared" si="13"/>
        <v>409789.75450793374</v>
      </c>
      <c r="J56" s="21">
        <f t="shared" si="13"/>
        <v>401932.78959809244</v>
      </c>
      <c r="K56" s="21">
        <f t="shared" si="13"/>
        <v>393918.68539005425</v>
      </c>
      <c r="L56" s="21">
        <f t="shared" si="13"/>
        <v>385744.2990978551</v>
      </c>
      <c r="M56" s="21">
        <f t="shared" si="13"/>
        <v>377406.4250798123</v>
      </c>
      <c r="N56" s="21">
        <f t="shared" si="13"/>
        <v>368901.79358140845</v>
      </c>
      <c r="O56" s="21">
        <f t="shared" si="13"/>
        <v>360227.0694530369</v>
      </c>
      <c r="P56" s="21">
        <f t="shared" si="13"/>
        <v>351378.8508420973</v>
      </c>
    </row>
    <row r="57" spans="2:4" ht="15.75">
      <c r="B57" s="21"/>
      <c r="C57" s="21"/>
      <c r="D57" s="21"/>
    </row>
    <row r="58" spans="1:16" ht="15.75">
      <c r="A58" s="18" t="s">
        <v>143</v>
      </c>
      <c r="B58" s="21">
        <f>'Monthly Cash Flow'!M53</f>
        <v>258077.75803920854</v>
      </c>
      <c r="C58" s="21">
        <f>(B58+C56)*(1+Inputs!$D62-0.02)</f>
        <v>726728.1122278661</v>
      </c>
      <c r="D58" s="21">
        <f>(C58+D56)*(1+Inputs!$D62-0.02)</f>
        <v>1150860.6766012441</v>
      </c>
      <c r="E58" s="21">
        <f>(D58+E56)*(1+Inputs!$D62-0.02)</f>
        <v>1670096.0029749002</v>
      </c>
      <c r="F58" s="21">
        <f>(E58+F56)*(1+Inputs!$D62-0.02)</f>
        <v>2207671.5435181116</v>
      </c>
      <c r="G58" s="21">
        <f>(F58+G56)*(1+Inputs!$D62-0.02)</f>
        <v>2764351.877896372</v>
      </c>
      <c r="H58" s="21">
        <f>(G58+H56)*(1+Inputs!$D62-0.02)</f>
        <v>3340936.7661375934</v>
      </c>
      <c r="I58" s="21">
        <f>(H58+I56)*(1+Inputs!$D62-0.02)</f>
        <v>3938262.846677804</v>
      </c>
      <c r="J58" s="21">
        <f>(I58+J56)*(1+Inputs!$D62-0.02)</f>
        <v>4557205.418089692</v>
      </c>
      <c r="K58" s="21">
        <f>(J58+K56)*(1+Inputs!$D62-0.02)</f>
        <v>5198680.308653734</v>
      </c>
      <c r="L58" s="21">
        <f>(K58+L56)*(1+Inputs!$D62-0.02)</f>
        <v>5863645.838139169</v>
      </c>
      <c r="M58" s="21">
        <f>(L58+M56)*(1+Inputs!$D62-0.02)</f>
        <v>6553104.87637993</v>
      </c>
      <c r="N58" s="21">
        <f>(M58+N56)*(1+Inputs!$D62-0.02)</f>
        <v>7268107.003459406</v>
      </c>
      <c r="O58" s="21">
        <f>(N58+O56)*(1+Inputs!$D62-0.02)</f>
        <v>8009750.776558066</v>
      </c>
      <c r="P58" s="21">
        <f>(O58+P56)*(1+Inputs!$D62-0.02)</f>
        <v>8779186.108770171</v>
      </c>
    </row>
    <row r="59" ht="15.75">
      <c r="Q59" s="2" t="s">
        <v>464</v>
      </c>
    </row>
    <row r="60" spans="1:17" ht="15.75">
      <c r="A60" s="2" t="s">
        <v>461</v>
      </c>
      <c r="B60" s="109">
        <f>-SUM(Inputs!B9:B44)+B56</f>
        <v>-3461922.241960792</v>
      </c>
      <c r="C60" s="109">
        <f>C56+C13</f>
        <v>434044.2536063781</v>
      </c>
      <c r="D60" s="109">
        <f aca="true" t="shared" si="14" ref="D60:P60">D56+D13</f>
        <v>369329.6750114141</v>
      </c>
      <c r="E60" s="109">
        <f t="shared" si="14"/>
        <v>439706.94527961314</v>
      </c>
      <c r="F60" s="109">
        <f t="shared" si="14"/>
        <v>432448.3241852056</v>
      </c>
      <c r="G60" s="109">
        <f t="shared" si="14"/>
        <v>425044.53066890966</v>
      </c>
      <c r="H60" s="109">
        <f t="shared" si="14"/>
        <v>417492.6612822879</v>
      </c>
      <c r="I60" s="109">
        <f t="shared" si="14"/>
        <v>409789.75450793374</v>
      </c>
      <c r="J60" s="109">
        <f t="shared" si="14"/>
        <v>401932.78959809244</v>
      </c>
      <c r="K60" s="109">
        <f t="shared" si="14"/>
        <v>393918.68539005425</v>
      </c>
      <c r="L60" s="109">
        <f t="shared" si="14"/>
        <v>385744.2990978551</v>
      </c>
      <c r="M60" s="109">
        <f t="shared" si="14"/>
        <v>377406.4250798123</v>
      </c>
      <c r="N60" s="109">
        <f t="shared" si="14"/>
        <v>368901.79358140845</v>
      </c>
      <c r="O60" s="109">
        <f t="shared" si="14"/>
        <v>360227.0694530369</v>
      </c>
      <c r="P60" s="109">
        <f t="shared" si="14"/>
        <v>351378.8508420973</v>
      </c>
      <c r="Q60" s="2">
        <f>Inputs!B9</f>
        <v>125000</v>
      </c>
    </row>
  </sheetData>
  <printOptions/>
  <pageMargins left="0.75" right="0.75" top="1" bottom="1" header="0.5" footer="0.5"/>
  <pageSetup fitToWidth="0" fitToHeight="1" horizontalDpi="300" verticalDpi="300" orientation="landscape" scale="65" r:id="rId1"/>
  <headerFooter alignWithMargins="0">
    <oddHeader>&amp;L&amp;"Times New Roman,Regular"Iowa State University Extension&amp;C&amp;A</oddHeader>
    <oddFooter>&amp;C&amp;A&amp;RPage &amp;P</oddFooter>
  </headerFooter>
  <colBreaks count="1" manualBreakCount="1">
    <brk id="9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0" sqref="F40"/>
    </sheetView>
  </sheetViews>
  <sheetFormatPr defaultColWidth="8.796875" defaultRowHeight="15"/>
  <cols>
    <col min="1" max="1" width="15.796875" style="0" customWidth="1"/>
    <col min="2" max="3" width="9" style="83" bestFit="1" customWidth="1"/>
    <col min="4" max="4" width="8.8984375" style="83" customWidth="1"/>
  </cols>
  <sheetData>
    <row r="1" ht="15">
      <c r="B1" s="96"/>
    </row>
    <row r="2" spans="5:8" ht="15">
      <c r="E2" s="85" t="s">
        <v>227</v>
      </c>
      <c r="F2" s="85" t="s">
        <v>254</v>
      </c>
      <c r="G2" s="85" t="s">
        <v>227</v>
      </c>
      <c r="H2" s="85" t="s">
        <v>254</v>
      </c>
    </row>
    <row r="3" spans="1:8" ht="15">
      <c r="A3" t="s">
        <v>259</v>
      </c>
      <c r="B3" s="83" t="s">
        <v>152</v>
      </c>
      <c r="C3" s="83" t="s">
        <v>260</v>
      </c>
      <c r="D3" s="83" t="s">
        <v>302</v>
      </c>
      <c r="E3" s="85" t="s">
        <v>261</v>
      </c>
      <c r="F3" s="85" t="s">
        <v>261</v>
      </c>
      <c r="G3" s="85" t="s">
        <v>261</v>
      </c>
      <c r="H3" s="85" t="s">
        <v>261</v>
      </c>
    </row>
    <row r="4" spans="1:8" ht="15">
      <c r="A4" s="202" t="s">
        <v>262</v>
      </c>
      <c r="B4" s="203">
        <v>85.4765</v>
      </c>
      <c r="C4" s="203">
        <v>77.2528590557302</v>
      </c>
      <c r="D4" s="203">
        <v>0.88</v>
      </c>
      <c r="E4" s="84">
        <f>'Prices and Spreads'!J$10/$D$13*100*C4/100</f>
        <v>18.621725324293983</v>
      </c>
      <c r="F4" s="84">
        <f>'Prices and Spreads'!K$10/$D$13*100*C4/100</f>
        <v>21.675979621290313</v>
      </c>
      <c r="G4" s="94">
        <f>E4*'Prices and Spreads'!J$7/56</f>
        <v>71.62202047805378</v>
      </c>
      <c r="H4" s="94">
        <f>F4*'Prices and Spreads'!K$7/56</f>
        <v>64.51184411098306</v>
      </c>
    </row>
    <row r="5" spans="1:8" ht="15">
      <c r="A5" s="202" t="s">
        <v>263</v>
      </c>
      <c r="B5" s="203">
        <v>4</v>
      </c>
      <c r="C5" s="203">
        <v>3.5348255417333068</v>
      </c>
      <c r="D5" s="203">
        <v>0.91</v>
      </c>
      <c r="E5" s="84">
        <f>'Prices and Spreads'!J$10/$D$13*100*C5/100</f>
        <v>0.8520662032711372</v>
      </c>
      <c r="F5" s="84">
        <f>'Prices and Spreads'!K$10/$D$13*100*C5/100</f>
        <v>0.9918183914999626</v>
      </c>
      <c r="G5" s="84">
        <f>E5*'Prices and Spreads'!J$7/2000</f>
        <v>0.09176097573689171</v>
      </c>
      <c r="H5" s="84">
        <f>F5*'Prices and Spreads'!K$7/2000</f>
        <v>0.08265153262499689</v>
      </c>
    </row>
    <row r="6" spans="1:8" ht="15">
      <c r="A6" s="202" t="s">
        <v>264</v>
      </c>
      <c r="B6" s="203">
        <v>8</v>
      </c>
      <c r="C6" s="203">
        <v>17.196448581405274</v>
      </c>
      <c r="D6" s="203">
        <v>0.38</v>
      </c>
      <c r="E6" s="84">
        <f>'Prices and Spreads'!J$10/$D$13*100*C6/100</f>
        <v>4.145186934832559</v>
      </c>
      <c r="F6" s="84">
        <f>'Prices and Spreads'!K$10/$D$13*100*C6/100</f>
        <v>4.825062445134953</v>
      </c>
      <c r="G6" s="84">
        <f>E6*'Prices and Spreads'!J$7/2000</f>
        <v>0.4464047468281217</v>
      </c>
      <c r="H6" s="84">
        <f>F6*'Prices and Spreads'!K$7/2000</f>
        <v>0.4020885370945794</v>
      </c>
    </row>
    <row r="7" spans="1:8" ht="15">
      <c r="A7" s="202" t="s">
        <v>265</v>
      </c>
      <c r="B7" s="203">
        <v>1.1</v>
      </c>
      <c r="C7" s="203">
        <v>0.8837063854333267</v>
      </c>
      <c r="D7" s="203">
        <v>0.9</v>
      </c>
      <c r="E7" s="84">
        <f>'Prices and Spreads'!J$10/$D$13*100*C7/100</f>
        <v>0.2130165508177843</v>
      </c>
      <c r="F7" s="84">
        <f>'Prices and Spreads'!K$10/$D$13*100*C7/100</f>
        <v>0.24795459787499066</v>
      </c>
      <c r="G7" s="84">
        <f>E7*'Prices and Spreads'!J$7</f>
        <v>45.880487868445854</v>
      </c>
      <c r="H7" s="84">
        <f>F7*'Prices and Spreads'!K$7</f>
        <v>41.325766312498445</v>
      </c>
    </row>
    <row r="8" spans="1:8" ht="15">
      <c r="A8" s="202" t="s">
        <v>266</v>
      </c>
      <c r="B8" s="203">
        <v>1</v>
      </c>
      <c r="C8" s="203">
        <v>0.7953357468899939</v>
      </c>
      <c r="D8" s="203">
        <v>0.9</v>
      </c>
      <c r="E8" s="84">
        <f>'Prices and Spreads'!J$10/$D$13*100*C8/100</f>
        <v>0.1917148957360058</v>
      </c>
      <c r="F8" s="84">
        <f>'Prices and Spreads'!K$10/$D$13*100*C8/100</f>
        <v>0.22315913808749155</v>
      </c>
      <c r="G8" s="84">
        <f>E8*'Prices and Spreads'!J$7</f>
        <v>41.29243908160125</v>
      </c>
      <c r="H8" s="84">
        <f>F8*'Prices and Spreads'!K$7</f>
        <v>37.19318968124859</v>
      </c>
    </row>
    <row r="9" spans="1:8" ht="15">
      <c r="A9" s="202" t="s">
        <v>267</v>
      </c>
      <c r="B9" s="203">
        <v>0.3</v>
      </c>
      <c r="C9" s="203">
        <v>0.23860072406699817</v>
      </c>
      <c r="D9" s="203">
        <v>0.9</v>
      </c>
      <c r="E9" s="84">
        <f>'Prices and Spreads'!J$10/$D$13*100*C9/100</f>
        <v>0.05751446872080175</v>
      </c>
      <c r="F9" s="84">
        <f>'Prices and Spreads'!K$10/$D$13*100*C9/100</f>
        <v>0.06694774142624746</v>
      </c>
      <c r="G9" s="84">
        <f>E9*'Prices and Spreads'!J$7</f>
        <v>12.387731724480377</v>
      </c>
      <c r="H9" s="84">
        <f>F9*'Prices and Spreads'!K$7</f>
        <v>11.157956904374576</v>
      </c>
    </row>
    <row r="10" spans="1:8" ht="15">
      <c r="A10" s="202" t="s">
        <v>268</v>
      </c>
      <c r="B10" s="203">
        <v>0.08</v>
      </c>
      <c r="C10" s="203">
        <v>0.06362685975119953</v>
      </c>
      <c r="D10" s="203">
        <v>0.9</v>
      </c>
      <c r="E10" s="84">
        <f>'Prices and Spreads'!J$10/$D$13*100*C10/100</f>
        <v>0.015337191658880471</v>
      </c>
      <c r="F10" s="84">
        <f>'Prices and Spreads'!K$10/$D$13*100*C10/100</f>
        <v>0.017852731046999328</v>
      </c>
      <c r="G10" s="84">
        <f>E10*'Prices and Spreads'!J$7</f>
        <v>3.3033951265281014</v>
      </c>
      <c r="H10" s="84">
        <f>F10*'Prices and Spreads'!K$7</f>
        <v>2.975455174499888</v>
      </c>
    </row>
    <row r="11" spans="1:8" ht="15">
      <c r="A11" s="202" t="s">
        <v>269</v>
      </c>
      <c r="B11" s="203">
        <v>0.024</v>
      </c>
      <c r="C11" s="203">
        <v>0.019088057925359857</v>
      </c>
      <c r="D11" s="203">
        <v>0.9</v>
      </c>
      <c r="E11" s="84">
        <f>'Prices and Spreads'!J$10/$D$13*100*C11/100</f>
        <v>0.004601157497664141</v>
      </c>
      <c r="F11" s="84">
        <f>'Prices and Spreads'!K$10/$D$13*100*C11/100</f>
        <v>0.005355819314099798</v>
      </c>
      <c r="G11" s="84">
        <f>E11*'Prices and Spreads'!J$7</f>
        <v>0.9910185379584303</v>
      </c>
      <c r="H11" s="84">
        <f>F11*'Prices and Spreads'!K$7</f>
        <v>0.8926365523499662</v>
      </c>
    </row>
    <row r="12" spans="1:8" ht="15">
      <c r="A12" s="202" t="s">
        <v>270</v>
      </c>
      <c r="B12" s="203">
        <v>0.0195</v>
      </c>
      <c r="C12" s="203">
        <v>0.015509047064354882</v>
      </c>
      <c r="D12" s="203">
        <v>0.9</v>
      </c>
      <c r="E12" s="84">
        <f>'Prices and Spreads'!J$10/$D$13*100*C12/100</f>
        <v>0.0037384404668521143</v>
      </c>
      <c r="F12" s="84">
        <f>'Prices and Spreads'!K$10/$D$13*100*C12/100</f>
        <v>0.004351603192706085</v>
      </c>
      <c r="G12" s="84">
        <f>E12*'Prices and Spreads'!J$7</f>
        <v>0.8052025620912246</v>
      </c>
      <c r="H12" s="84">
        <f>F12*'Prices and Spreads'!K$7</f>
        <v>0.7252671987843475</v>
      </c>
    </row>
    <row r="13" spans="1:6" ht="15">
      <c r="A13" s="202"/>
      <c r="B13" s="203">
        <f>SUM(B4:B12)</f>
        <v>99.99999999999999</v>
      </c>
      <c r="C13" s="203">
        <v>100</v>
      </c>
      <c r="D13" s="203">
        <f>+D4*C4+C5*D5+C6*D6+C7*D7+C8*D8+C9*D9+C10*D10+C11*D11+C12*D12</f>
        <v>79.54813781197198</v>
      </c>
      <c r="E13" s="84">
        <f>'Prices and Spreads'!J$10/$D$13*100*C13/100</f>
        <v>24.104901167295665</v>
      </c>
      <c r="F13" s="84">
        <f>'Prices and Spreads'!K$10/$D$13*100*C13/100</f>
        <v>28.05848208886776</v>
      </c>
    </row>
    <row r="14" spans="1:4" ht="15">
      <c r="A14" s="202"/>
      <c r="B14" s="203"/>
      <c r="C14" s="203"/>
      <c r="D14" s="203"/>
    </row>
    <row r="15" spans="1:4" ht="15">
      <c r="A15" s="202" t="s">
        <v>271</v>
      </c>
      <c r="B15" s="203"/>
      <c r="C15" s="203"/>
      <c r="D15" s="203"/>
    </row>
    <row r="16" spans="1:8" ht="15">
      <c r="A16" s="202" t="s">
        <v>262</v>
      </c>
      <c r="B16" s="203">
        <v>66.3765</v>
      </c>
      <c r="C16" s="203">
        <v>49.26144087675736</v>
      </c>
      <c r="D16" s="203">
        <v>0.88</v>
      </c>
      <c r="E16" s="84">
        <f>'Prices and Spreads'!J$10/$D$25*100*C16/100</f>
        <v>14.449083504865136</v>
      </c>
      <c r="F16" s="84">
        <f>'Prices and Spreads'!K$10/$D$25*100*C16/100</f>
        <v>16.818959260943405</v>
      </c>
      <c r="G16" s="94">
        <f>E16*'Prices and Spreads'!J$7/56</f>
        <v>55.57339809563514</v>
      </c>
      <c r="H16" s="94">
        <f>F16*'Prices and Spreads'!K$7/56</f>
        <v>50.056426371855366</v>
      </c>
    </row>
    <row r="17" spans="1:8" ht="15">
      <c r="A17" s="202" t="s">
        <v>263</v>
      </c>
      <c r="B17" s="203">
        <v>4</v>
      </c>
      <c r="C17" s="203">
        <v>2.9026382644825928</v>
      </c>
      <c r="D17" s="203">
        <v>0.91</v>
      </c>
      <c r="E17" s="84">
        <f>'Prices and Spreads'!J$10/$D$25*100*C17/100</f>
        <v>0.8513852197878815</v>
      </c>
      <c r="F17" s="84">
        <f>'Prices and Spreads'!K$10/$D$25*100*C17/100</f>
        <v>0.9910257160712134</v>
      </c>
      <c r="G17" s="84">
        <f>E17*'Prices and Spreads'!J$7/2000</f>
        <v>0.09168763905407955</v>
      </c>
      <c r="H17" s="84">
        <f>F17*'Prices and Spreads'!K$7/2000</f>
        <v>0.08258547633926777</v>
      </c>
    </row>
    <row r="18" spans="1:8" ht="15">
      <c r="A18" s="202" t="s">
        <v>264</v>
      </c>
      <c r="B18" s="203">
        <v>8</v>
      </c>
      <c r="C18" s="203">
        <v>14.120942908293694</v>
      </c>
      <c r="D18" s="203">
        <v>0.38</v>
      </c>
      <c r="E18" s="84">
        <f>'Prices and Spreads'!J$10/$D$25*100*C18/100</f>
        <v>4.141874042211316</v>
      </c>
      <c r="F18" s="84">
        <f>'Prices and Spreads'!K$10/$D$25*100*C18/100</f>
        <v>4.821206186292389</v>
      </c>
      <c r="G18" s="84">
        <f>E18*'Prices and Spreads'!J$7/2000</f>
        <v>0.44604797377660327</v>
      </c>
      <c r="H18" s="84">
        <f>F18*'Prices and Spreads'!K$7/2000</f>
        <v>0.40176718219103236</v>
      </c>
    </row>
    <row r="19" spans="1:8" ht="15">
      <c r="A19" s="202" t="s">
        <v>272</v>
      </c>
      <c r="B19" s="203">
        <v>20</v>
      </c>
      <c r="C19" s="203">
        <v>32.65468047542917</v>
      </c>
      <c r="D19" s="203">
        <v>0.4</v>
      </c>
      <c r="E19" s="84">
        <f>'Prices and Spreads'!J$10/$D$25*100*C19/100</f>
        <v>9.578083722613666</v>
      </c>
      <c r="F19" s="84">
        <f>'Prices and Spreads'!K$10/$D$25*100*C19/100</f>
        <v>11.14903930580115</v>
      </c>
      <c r="G19" s="84">
        <f>E19*'Prices and Spreads'!J$7/2000</f>
        <v>1.0314859393583946</v>
      </c>
      <c r="H19" s="84">
        <f>F19*'Prices and Spreads'!K$7/2000</f>
        <v>0.9290866088167624</v>
      </c>
    </row>
    <row r="20" spans="1:8" ht="15">
      <c r="A20" s="202" t="s">
        <v>266</v>
      </c>
      <c r="B20" s="203">
        <v>1.2</v>
      </c>
      <c r="C20" s="203">
        <v>0.7837123314103001</v>
      </c>
      <c r="D20" s="203">
        <v>0.9</v>
      </c>
      <c r="E20" s="84">
        <f>'Prices and Spreads'!J$10/$D$25*100*C20/100</f>
        <v>0.22987400934272803</v>
      </c>
      <c r="F20" s="84">
        <f>'Prices and Spreads'!K$10/$D$25*100*C20/100</f>
        <v>0.2675769433392276</v>
      </c>
      <c r="G20" s="84">
        <f>E20*'Prices and Spreads'!J$7</f>
        <v>49.51132508920296</v>
      </c>
      <c r="H20" s="84">
        <f>F20*'Prices and Spreads'!K$7</f>
        <v>44.5961572232046</v>
      </c>
    </row>
    <row r="21" spans="1:8" ht="15">
      <c r="A21" s="202" t="s">
        <v>267</v>
      </c>
      <c r="B21" s="203">
        <v>0.3</v>
      </c>
      <c r="C21" s="203">
        <v>0.19592808285257501</v>
      </c>
      <c r="D21" s="203">
        <v>0.9</v>
      </c>
      <c r="E21" s="84">
        <f>'Prices and Spreads'!J$10/$D$25*100*C21/100</f>
        <v>0.05746850233568201</v>
      </c>
      <c r="F21" s="84">
        <f>'Prices and Spreads'!K$10/$D$25*100*C21/100</f>
        <v>0.0668942358348069</v>
      </c>
      <c r="G21" s="84">
        <f>E21*'Prices and Spreads'!J$7</f>
        <v>12.37783127230074</v>
      </c>
      <c r="H21" s="84">
        <f>F21*'Prices and Spreads'!K$7</f>
        <v>11.14903930580115</v>
      </c>
    </row>
    <row r="22" spans="1:8" ht="15">
      <c r="A22" s="202" t="s">
        <v>268</v>
      </c>
      <c r="B22" s="203">
        <v>0.08</v>
      </c>
      <c r="C22" s="203">
        <v>0.05224748876068667</v>
      </c>
      <c r="D22" s="203">
        <v>0.9</v>
      </c>
      <c r="E22" s="84">
        <f>'Prices and Spreads'!J$10/$D$25*100*C22/100</f>
        <v>0.015324933956181867</v>
      </c>
      <c r="F22" s="84">
        <f>'Prices and Spreads'!K$10/$D$25*100*C22/100</f>
        <v>0.01783846288928184</v>
      </c>
      <c r="G22" s="84">
        <f>E22*'Prices and Spreads'!J$7</f>
        <v>3.3007550059468636</v>
      </c>
      <c r="H22" s="84">
        <f>F22*'Prices and Spreads'!K$7</f>
        <v>2.9730771482136396</v>
      </c>
    </row>
    <row r="23" spans="1:8" ht="15">
      <c r="A23" s="202" t="s">
        <v>269</v>
      </c>
      <c r="B23" s="203">
        <v>0.024</v>
      </c>
      <c r="C23" s="203">
        <v>0.015674246628206</v>
      </c>
      <c r="D23" s="203">
        <v>0.9</v>
      </c>
      <c r="E23" s="84">
        <f>'Prices and Spreads'!J$10/$D$25*100*C23/100</f>
        <v>0.00459748018685456</v>
      </c>
      <c r="F23" s="84">
        <f>'Prices and Spreads'!K$10/$D$25*100*C23/100</f>
        <v>0.005351538866784552</v>
      </c>
      <c r="G23" s="84">
        <f>E23*'Prices and Spreads'!J$7</f>
        <v>0.990226501784059</v>
      </c>
      <c r="H23" s="84">
        <f>F23*'Prices and Spreads'!K$7</f>
        <v>0.891923144464092</v>
      </c>
    </row>
    <row r="24" spans="1:8" ht="15">
      <c r="A24" s="202" t="s">
        <v>270</v>
      </c>
      <c r="B24" s="203">
        <v>0.0195</v>
      </c>
      <c r="C24" s="203">
        <v>0.012735325385417377</v>
      </c>
      <c r="D24" s="203">
        <v>0.9</v>
      </c>
      <c r="E24" s="84">
        <f>'Prices and Spreads'!J$10/$D$25*100*C24/100</f>
        <v>0.0037354526518193305</v>
      </c>
      <c r="F24" s="84">
        <f>'Prices and Spreads'!K$10/$D$25*100*C24/100</f>
        <v>0.0043481253292624485</v>
      </c>
      <c r="G24" s="84">
        <f>E24*'Prices and Spreads'!J$7</f>
        <v>0.8045590326995481</v>
      </c>
      <c r="H24" s="84">
        <f>F24*'Prices and Spreads'!K$7</f>
        <v>0.7246875548770747</v>
      </c>
    </row>
    <row r="25" spans="1:6" ht="15">
      <c r="A25" s="202"/>
      <c r="B25" s="203">
        <f>SUM(B16:B24)</f>
        <v>99.99999999999999</v>
      </c>
      <c r="C25" s="203">
        <v>100</v>
      </c>
      <c r="D25" s="203">
        <f>+D16*C16+C17*D17+C18*D18+C19*D19+C20*D20+C21*D21+C22*D22+C23*D23+C24*D24</f>
        <v>65.37356701508239</v>
      </c>
      <c r="E25" s="84">
        <f>'Prices and Spreads'!J$10/$D$25*100*C25/100</f>
        <v>29.331426867951265</v>
      </c>
      <c r="F25" s="84">
        <f>'Prices and Spreads'!K$10/$D$25*100*C25/100</f>
        <v>34.14223977536752</v>
      </c>
    </row>
    <row r="26" spans="1:4" ht="15">
      <c r="A26" s="202"/>
      <c r="B26" s="203"/>
      <c r="C26" s="203"/>
      <c r="D26" s="203"/>
    </row>
    <row r="27" spans="1:4" ht="15">
      <c r="A27" s="202" t="s">
        <v>273</v>
      </c>
      <c r="B27" s="203"/>
      <c r="C27" s="203"/>
      <c r="D27" s="203"/>
    </row>
    <row r="28" spans="1:8" ht="15">
      <c r="A28" s="202" t="s">
        <v>262</v>
      </c>
      <c r="B28" s="203">
        <v>46.2565</v>
      </c>
      <c r="C28" s="203">
        <v>29.14182276461056</v>
      </c>
      <c r="D28" s="203">
        <v>0.88</v>
      </c>
      <c r="E28" s="84">
        <f>'Prices and Spreads'!J$10/$D$37*100*C28/100</f>
        <v>10.070494311418932</v>
      </c>
      <c r="F28" s="84">
        <f>'Prices and Spreads'!K$10/$D$37*100*C28/100</f>
        <v>11.722212935117106</v>
      </c>
      <c r="G28" s="94">
        <f>E28*'Prices and Spreads'!J$7/56</f>
        <v>38.73267042853435</v>
      </c>
      <c r="H28" s="94">
        <f>F28*'Prices and Spreads'!K$7/56</f>
        <v>34.88753849737234</v>
      </c>
    </row>
    <row r="29" spans="1:8" ht="15">
      <c r="A29" s="202" t="s">
        <v>263</v>
      </c>
      <c r="B29" s="203">
        <v>4</v>
      </c>
      <c r="C29" s="203">
        <v>2.46401925810857</v>
      </c>
      <c r="D29" s="203">
        <v>0.91</v>
      </c>
      <c r="E29" s="84">
        <f>'Prices and Spreads'!J$10/$D$37*100*C29/100</f>
        <v>0.8514872979099546</v>
      </c>
      <c r="F29" s="84">
        <f>'Prices and Spreads'!K$10/$D$37*100*C29/100</f>
        <v>0.9911445366023564</v>
      </c>
      <c r="G29" s="84">
        <f>E29*'Prices and Spreads'!J$7/2000</f>
        <v>0.0916986320826105</v>
      </c>
      <c r="H29" s="84">
        <f>F29*'Prices and Spreads'!K$7/2000</f>
        <v>0.08259537805019636</v>
      </c>
    </row>
    <row r="30" spans="1:8" ht="15">
      <c r="A30" s="202" t="s">
        <v>264</v>
      </c>
      <c r="B30" s="203">
        <v>8</v>
      </c>
      <c r="C30" s="203">
        <v>11.987120715122773</v>
      </c>
      <c r="D30" s="203">
        <v>0.38</v>
      </c>
      <c r="E30" s="84">
        <f>'Prices and Spreads'!J$10/$D$37*100*C30/100</f>
        <v>4.14237063848086</v>
      </c>
      <c r="F30" s="84">
        <f>'Prices and Spreads'!K$10/$D$37*100*C30/100</f>
        <v>4.821784232119572</v>
      </c>
      <c r="G30" s="84">
        <f>E30*'Prices and Spreads'!J$7/2000</f>
        <v>0.44610145337486184</v>
      </c>
      <c r="H30" s="84">
        <f>F30*'Prices and Spreads'!K$7/2000</f>
        <v>0.40181535267663093</v>
      </c>
    </row>
    <row r="31" spans="1:8" ht="15">
      <c r="A31" s="202" t="s">
        <v>272</v>
      </c>
      <c r="B31" s="203">
        <v>40</v>
      </c>
      <c r="C31" s="203">
        <v>55.440433307442824</v>
      </c>
      <c r="D31" s="203">
        <v>0.4</v>
      </c>
      <c r="E31" s="84">
        <f>'Prices and Spreads'!J$10/$D$37*100*C31/100</f>
        <v>19.158464202973978</v>
      </c>
      <c r="F31" s="84">
        <f>'Prices and Spreads'!K$10/$D$37*100*C31/100</f>
        <v>22.300752073553017</v>
      </c>
      <c r="G31" s="84">
        <f>E31*'Prices and Spreads'!J$7/2000</f>
        <v>2.063219221858736</v>
      </c>
      <c r="H31" s="84">
        <f>F31*'Prices and Spreads'!K$7/2000</f>
        <v>1.858396006129418</v>
      </c>
    </row>
    <row r="32" spans="1:8" ht="15">
      <c r="A32" s="202" t="s">
        <v>266</v>
      </c>
      <c r="B32" s="203">
        <v>1.32</v>
      </c>
      <c r="C32" s="203">
        <v>0.7318137196582453</v>
      </c>
      <c r="D32" s="203">
        <v>0.9</v>
      </c>
      <c r="E32" s="84">
        <f>'Prices and Spreads'!J$10/$D$37*100*C32/100</f>
        <v>0.25289172747925653</v>
      </c>
      <c r="F32" s="84">
        <f>'Prices and Spreads'!K$10/$D$37*100*C32/100</f>
        <v>0.29436992737089984</v>
      </c>
      <c r="G32" s="84">
        <f>E32*'Prices and Spreads'!J$7</f>
        <v>54.46898745707064</v>
      </c>
      <c r="H32" s="84">
        <f>F32*'Prices and Spreads'!K$7</f>
        <v>49.06165456181664</v>
      </c>
    </row>
    <row r="33" spans="1:8" ht="15">
      <c r="A33" s="202" t="s">
        <v>267</v>
      </c>
      <c r="B33" s="203">
        <v>0.3</v>
      </c>
      <c r="C33" s="203">
        <v>0.16632129992232847</v>
      </c>
      <c r="D33" s="203">
        <v>0.9</v>
      </c>
      <c r="E33" s="84">
        <f>'Prices and Spreads'!J$10/$D$37*100*C33/100</f>
        <v>0.05747539260892194</v>
      </c>
      <c r="F33" s="84">
        <f>'Prices and Spreads'!K$10/$D$37*100*C33/100</f>
        <v>0.06690225622065905</v>
      </c>
      <c r="G33" s="84">
        <f>E33*'Prices and Spreads'!J$7</f>
        <v>12.379315331152418</v>
      </c>
      <c r="H33" s="84">
        <f>F33*'Prices and Spreads'!K$7</f>
        <v>11.150376036776509</v>
      </c>
    </row>
    <row r="34" spans="1:8" ht="15">
      <c r="A34" s="202" t="s">
        <v>268</v>
      </c>
      <c r="B34" s="203">
        <v>0.08</v>
      </c>
      <c r="C34" s="203">
        <v>0.04435234664595426</v>
      </c>
      <c r="D34" s="203">
        <v>0.9</v>
      </c>
      <c r="E34" s="84">
        <f>'Prices and Spreads'!J$10/$D$37*100*C34/100</f>
        <v>0.015326771362379183</v>
      </c>
      <c r="F34" s="84">
        <f>'Prices and Spreads'!K$10/$D$37*100*C34/100</f>
        <v>0.017840601658842416</v>
      </c>
      <c r="G34" s="84">
        <f>E34*'Prices and Spreads'!J$7</f>
        <v>3.301150754973978</v>
      </c>
      <c r="H34" s="84">
        <f>F34*'Prices and Spreads'!K$7</f>
        <v>2.9734336098070693</v>
      </c>
    </row>
    <row r="35" spans="1:8" ht="15">
      <c r="A35" s="202" t="s">
        <v>269</v>
      </c>
      <c r="B35" s="203">
        <v>0.024</v>
      </c>
      <c r="C35" s="203">
        <v>0.01330570399378628</v>
      </c>
      <c r="D35" s="203">
        <v>0.9</v>
      </c>
      <c r="E35" s="84">
        <f>'Prices and Spreads'!J$10/$D$37*100*C35/100</f>
        <v>0.004598031408713755</v>
      </c>
      <c r="F35" s="84">
        <f>'Prices and Spreads'!K$10/$D$37*100*C35/100</f>
        <v>0.005352180497652725</v>
      </c>
      <c r="G35" s="84">
        <f>E35*'Prices and Spreads'!J$7</f>
        <v>0.9903452264921935</v>
      </c>
      <c r="H35" s="84">
        <f>F35*'Prices and Spreads'!K$7</f>
        <v>0.8920300829421208</v>
      </c>
    </row>
    <row r="36" spans="1:8" ht="15">
      <c r="A36" s="202" t="s">
        <v>270</v>
      </c>
      <c r="B36" s="203">
        <v>0.0195</v>
      </c>
      <c r="C36" s="203">
        <v>0.01081088449495135</v>
      </c>
      <c r="D36" s="203">
        <v>0.9</v>
      </c>
      <c r="E36" s="84">
        <f>'Prices and Spreads'!J$10/$D$37*100*C36/100</f>
        <v>0.0037359005195799254</v>
      </c>
      <c r="F36" s="84">
        <f>'Prices and Spreads'!K$10/$D$37*100*C36/100</f>
        <v>0.004348646654342839</v>
      </c>
      <c r="G36" s="84">
        <f>E36*'Prices and Spreads'!J$7</f>
        <v>0.804655496524907</v>
      </c>
      <c r="H36" s="84">
        <f>F36*'Prices and Spreads'!K$7</f>
        <v>0.7247744423904731</v>
      </c>
    </row>
    <row r="37" spans="1:7" ht="15">
      <c r="A37" s="202"/>
      <c r="B37" s="203">
        <f>SUM(B28:B36)</f>
        <v>99.99999999999999</v>
      </c>
      <c r="C37" s="203">
        <v>100</v>
      </c>
      <c r="D37" s="203">
        <f>+D28*C28+C29*D29+C30*D30+C31*D31+C32*D32+C33*D33+C34*D34+C35*D35+C36*D36</f>
        <v>55.48828431170361</v>
      </c>
      <c r="E37" s="84">
        <f>'Prices and Spreads'!J$10/$D$37*100*C37/100</f>
        <v>34.55684427416258</v>
      </c>
      <c r="F37" s="84">
        <f>'Prices and Spreads'!K$10/$D$37*100*C37/100</f>
        <v>40.22470738979445</v>
      </c>
      <c r="G37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John Lawrence</dc:creator>
  <cp:keywords/>
  <dc:description/>
  <cp:lastModifiedBy>John M. Dungan</cp:lastModifiedBy>
  <cp:lastPrinted>2006-01-31T02:37:30Z</cp:lastPrinted>
  <dcterms:created xsi:type="dcterms:W3CDTF">1998-03-23T12:49:19Z</dcterms:created>
  <dcterms:modified xsi:type="dcterms:W3CDTF">2007-05-08T12:28:30Z</dcterms:modified>
  <cp:category/>
  <cp:version/>
  <cp:contentType/>
  <cp:contentStatus/>
</cp:coreProperties>
</file>